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15" activeTab="1"/>
  </bookViews>
  <sheets>
    <sheet name="Справка ремонта дорог2006г." sheetId="1" r:id="rId1"/>
    <sheet name="Лист1" sheetId="2" r:id="rId2"/>
    <sheet name="ремонт 2005-2006г.г." sheetId="3" r:id="rId3"/>
    <sheet name="Справка ремонта дорог2005г." sheetId="4" r:id="rId4"/>
  </sheets>
  <definedNames/>
  <calcPr fullCalcOnLoad="1"/>
</workbook>
</file>

<file path=xl/sharedStrings.xml><?xml version="1.0" encoding="utf-8"?>
<sst xmlns="http://schemas.openxmlformats.org/spreadsheetml/2006/main" count="924" uniqueCount="295">
  <si>
    <t>ТОО "Связьстроймеханизация"</t>
  </si>
  <si>
    <t>ТОО "Дормехстрой"</t>
  </si>
  <si>
    <t>Татибекова (Райымбека - Халиуллина)</t>
  </si>
  <si>
    <t>Халиуллина (Татибекова - развилка)</t>
  </si>
  <si>
    <t>Момыш-улы (Шаляпина - Толе би)</t>
  </si>
  <si>
    <t>Ауэзова  в мкр."Калкаман" (Толе би - граница города)</t>
  </si>
  <si>
    <t xml:space="preserve">Шаляпина (Саина - Сатпаева) </t>
  </si>
  <si>
    <t>Шанырак-1</t>
  </si>
  <si>
    <t>Таугуль-3</t>
  </si>
  <si>
    <t>Байбесик</t>
  </si>
  <si>
    <t>Кайрат</t>
  </si>
  <si>
    <t>Капитальный ремонт</t>
  </si>
  <si>
    <t>Райымбека (Пушкина - Татибекова)</t>
  </si>
  <si>
    <t>по проведению строительства и ремонта городских дорог</t>
  </si>
  <si>
    <t>Тулебаева (Абая - Райымбека)</t>
  </si>
  <si>
    <t>ТОО "Жилдорсервис"</t>
  </si>
  <si>
    <t>Селютин Генадий Яковлевич</t>
  </si>
  <si>
    <t>ТОО "Жетысужолдары"</t>
  </si>
  <si>
    <t>в 2005 году</t>
  </si>
  <si>
    <t>Закиров Кожахмет Имаржанович</t>
  </si>
  <si>
    <t>№</t>
  </si>
  <si>
    <t>ТОО "Жамбылжолкурылыс"</t>
  </si>
  <si>
    <t>Саина (ул.Дулати – ул.Жандосова)</t>
  </si>
  <si>
    <t>Толе би (Момыш-улы - Утеген батыра)</t>
  </si>
  <si>
    <t xml:space="preserve">Каблукова (Торайгырова-Утепова)   </t>
  </si>
  <si>
    <t>Ауэзова (Абая-Гоголя)</t>
  </si>
  <si>
    <t>Абдуллиных (Макатаева-Богенбай батыра)</t>
  </si>
  <si>
    <t>Маметовой (Сейфуллина-Пушкина)</t>
  </si>
  <si>
    <t>Толе би (Байтурсынова-Достык)</t>
  </si>
  <si>
    <t>Торайгырова (Саина-Каблукова)</t>
  </si>
  <si>
    <t>Жумабаева (Ахан Сере-Северное кольцо)</t>
  </si>
  <si>
    <t>Кудерина (Рыскулова-Райымбека)</t>
  </si>
  <si>
    <t>Байтурсынова (Шевченко-Макатаева)</t>
  </si>
  <si>
    <t>Бекмаханова (Северное кольцо-Майлина)</t>
  </si>
  <si>
    <t>Иштвана Коныра (Набережная-Верненская)</t>
  </si>
  <si>
    <t>Кульджинский тракт (развилка-Рыскулова)</t>
  </si>
  <si>
    <t>Шаймерденова в мкр. "Таугуль-3"</t>
  </si>
  <si>
    <t>Кармысова (Луганского-Кабанбай батыра)</t>
  </si>
  <si>
    <t>Макатаева (Байзакова-ЦПКиО)</t>
  </si>
  <si>
    <t>Мустафина (Аль-Фараби-Рыскулбекова)</t>
  </si>
  <si>
    <t>Ходжанова (Аль-Фараби-Гагарина)</t>
  </si>
  <si>
    <t>Шашкина (Аль-Фараби-Тимирязева)</t>
  </si>
  <si>
    <t>Прилегающая территория к ТЮЗу</t>
  </si>
  <si>
    <t>ОАО "Дормеханизация"</t>
  </si>
  <si>
    <t>ОАО "Гордорстрой-2"</t>
  </si>
  <si>
    <t>ТОО "Акжолкурылыс"</t>
  </si>
  <si>
    <t>Абая (ул.Жандосова –ул.Желтоксан)</t>
  </si>
  <si>
    <t>Абая (ул.Ауэзова – ул.Утеген батыра)</t>
  </si>
  <si>
    <t>Жандосова (ул.Алтынсарина – ул.Саина)</t>
  </si>
  <si>
    <t xml:space="preserve">Райымбека (Саина-до границы города) </t>
  </si>
  <si>
    <t>Ауэзова пос.Калкаман (Толе би-Райымбека)</t>
  </si>
  <si>
    <t xml:space="preserve">Байтурсынова (Шевченко-Абая)   </t>
  </si>
  <si>
    <t xml:space="preserve">Бокейханова (Райымбека-Северное кольцо) </t>
  </si>
  <si>
    <t xml:space="preserve">Ворошилова (Рыскулова-до дороги в мкр.Шанырак) </t>
  </si>
  <si>
    <t xml:space="preserve">Гагарина (Тимирязева-Аль-Фараби)     </t>
  </si>
  <si>
    <t>Горная (Бутаковка-Медео)</t>
  </si>
  <si>
    <t xml:space="preserve">Емцова (Райымбека-Рыскулова)       </t>
  </si>
  <si>
    <t xml:space="preserve">Жандосова (Саина-до границы города)     </t>
  </si>
  <si>
    <t xml:space="preserve">Жарокова (Утепова-Аль-Фараби)   </t>
  </si>
  <si>
    <t xml:space="preserve">Лавренева (Бекмаханова-70 разъезд) </t>
  </si>
  <si>
    <t xml:space="preserve">Луганского     </t>
  </si>
  <si>
    <t xml:space="preserve">Панфилова (Райымбека-Кабанбай батыра) </t>
  </si>
  <si>
    <t xml:space="preserve">Папанина, ул. Жангельдина (Б.Хмельницкого- Рыскулова, в том числе ул.Орджоникидзе-350м.)                                                                                                                                               </t>
  </si>
  <si>
    <t xml:space="preserve">Саина (Жандосова-Толе би)    </t>
  </si>
  <si>
    <t xml:space="preserve">Сатпаева (Фурманова-Достык)      </t>
  </si>
  <si>
    <t xml:space="preserve">Суюнбая (Б.Хмельницкого-Шолохова)    </t>
  </si>
  <si>
    <t xml:space="preserve">Тургут Озала (Райымбека-Сатпаева)                                                                                                                                                                                                              </t>
  </si>
  <si>
    <t xml:space="preserve">Утепова (Каблукова-Жарокова)    </t>
  </si>
  <si>
    <t xml:space="preserve">Шаляпина (Саина-Момыш улы) </t>
  </si>
  <si>
    <t xml:space="preserve">Шемякина (Б.Хмельницкого-Рыскулова)   </t>
  </si>
  <si>
    <t>Аль-Фараби, южный проезд (ул.Дулати – ул.Гагарина)</t>
  </si>
  <si>
    <t>ТОО "Дорстройремсервис"</t>
  </si>
  <si>
    <t>АО СУ "Гордорремстрой"</t>
  </si>
  <si>
    <t>ТОО ПСФ "Алонс"</t>
  </si>
  <si>
    <t>АО "ДЭУ-Автобаза"</t>
  </si>
  <si>
    <t>Нагайцев Владимир Викторович</t>
  </si>
  <si>
    <t>Асыкбаев Малик Оразалиевич</t>
  </si>
  <si>
    <t>Бельгибаев Еркен Аубакирович</t>
  </si>
  <si>
    <t>Площадь "Астана"</t>
  </si>
  <si>
    <t>Благоустройство сквера А.Иманова и ремонт дорог по ул.А.Молдагуловой</t>
  </si>
  <si>
    <t>Клочкова (Достык - з/о "Кок-Тобе")</t>
  </si>
  <si>
    <t>Наименование объектов</t>
  </si>
  <si>
    <t>Новое строительство</t>
  </si>
  <si>
    <t>Наименование                           организации</t>
  </si>
  <si>
    <t>Фамилия Имя Отчество                              первого руководителя</t>
  </si>
  <si>
    <t>СПРАВКА</t>
  </si>
  <si>
    <t>Удербаев Нурдаулет Курбанбаевич</t>
  </si>
  <si>
    <t>Протяженность     км</t>
  </si>
  <si>
    <t>ИТОГО:</t>
  </si>
  <si>
    <t>Исаакиди Юрий Ксенофондович</t>
  </si>
  <si>
    <t>Бергарипов Габидолла Зейноллаевич</t>
  </si>
  <si>
    <t>ТОО "Дртехмонтажсервис"</t>
  </si>
  <si>
    <t>Ремонт Площади Республики</t>
  </si>
  <si>
    <t>Ремонт улиц Горная, Достык        (от кафе "Белладжо" до улицы Х.Мукана)</t>
  </si>
  <si>
    <t>пр.Достык (Х.Мукана -Казыбек би)</t>
  </si>
  <si>
    <t>ул.Кунаева в п. Каменка</t>
  </si>
  <si>
    <t>ул.Х.Мукана (Фурманова-Достык)</t>
  </si>
  <si>
    <t>ТОО "Нурмаржанстрой сервис"</t>
  </si>
  <si>
    <t>подъем люков шт</t>
  </si>
  <si>
    <t>Ремонт улицы Оспанова</t>
  </si>
  <si>
    <t>Благоустройство территории станции нижней канатной дороги и участка перед Дворцом Республики</t>
  </si>
  <si>
    <t>-</t>
  </si>
  <si>
    <t xml:space="preserve"> </t>
  </si>
  <si>
    <t>ИТОГО        тенге</t>
  </si>
  <si>
    <t>установка бордюров</t>
  </si>
  <si>
    <t>Текущий ремонт</t>
  </si>
  <si>
    <t>Текущий ремонт дорог</t>
  </si>
  <si>
    <t>Заливка трещин</t>
  </si>
  <si>
    <t>Всего                                                         новое строительство</t>
  </si>
  <si>
    <t>Всего                                                                      капитальный ремонт</t>
  </si>
  <si>
    <t>Всего                                                                      средний ремонт</t>
  </si>
  <si>
    <t>Всего                                                                  текущий ремонт</t>
  </si>
  <si>
    <t>ВСЕГО за год</t>
  </si>
  <si>
    <t xml:space="preserve">Дорога на г. Талгар (развилка-гр. города)      </t>
  </si>
  <si>
    <t xml:space="preserve">Байзакова (Райымбека-Тимирязева)   </t>
  </si>
  <si>
    <t>Прилегающая территория к Дворцу Республики</t>
  </si>
  <si>
    <t>Покрытие территории парка им. "28-ми Гвардейцев панфиловцев</t>
  </si>
  <si>
    <t>Аль-Фараби, северный проезд (ул.Дулати – ул.Гагарина)</t>
  </si>
  <si>
    <t xml:space="preserve">Ремонт Площади Республики (верхняя часть) с каскадом в т.ч. перемощение плиткой </t>
  </si>
  <si>
    <t>АО "ДСУ-13"</t>
  </si>
  <si>
    <t>Слуев Юрий                         Викторович</t>
  </si>
  <si>
    <t>Слуев Юрий               Викторович</t>
  </si>
  <si>
    <t>Слуев Юрий           Викторович</t>
  </si>
  <si>
    <t>Асанов Алихан          Махмудович</t>
  </si>
  <si>
    <t>Бадраков Ермек           Канибаевич</t>
  </si>
  <si>
    <t>Акылбаев Болат               Игенович</t>
  </si>
  <si>
    <t>Исаакиди Юрий         Ксенофондович</t>
  </si>
  <si>
    <t>Ринг Александр            Готлибович</t>
  </si>
  <si>
    <t>Кошелев Михаил          Васильевич</t>
  </si>
  <si>
    <t>Грачев Михаил        Васильевич</t>
  </si>
  <si>
    <t>Сумма                  тенге</t>
  </si>
  <si>
    <t>песчанные п.м</t>
  </si>
  <si>
    <t>ж/бетонные       п.м</t>
  </si>
  <si>
    <t>гранитные п.м</t>
  </si>
  <si>
    <t>а/бетонное покрытие       м2</t>
  </si>
  <si>
    <t>Вид работ</t>
  </si>
  <si>
    <t>14.03.06г.</t>
  </si>
  <si>
    <t>Средний ремонт дорог</t>
  </si>
  <si>
    <t>Разработка проектно-сметной документации  по строительству дорог</t>
  </si>
  <si>
    <t>в 2006 году</t>
  </si>
  <si>
    <t>Прот-сть     км</t>
  </si>
  <si>
    <t>Сумма                  тыс.тенге</t>
  </si>
  <si>
    <t>Стои-ть      1-го        км дорог</t>
  </si>
  <si>
    <t>стоимость   1 м2</t>
  </si>
  <si>
    <t>подъем люков                                                 шт</t>
  </si>
  <si>
    <t>упорные плиты              шт</t>
  </si>
  <si>
    <t>стоимость   1 упорной плиты</t>
  </si>
  <si>
    <t xml:space="preserve">со        стои-тью </t>
  </si>
  <si>
    <t>без                       стои-ти</t>
  </si>
  <si>
    <t>стоимость   1 люка</t>
  </si>
  <si>
    <t>стоимость       1 гр.бордюра</t>
  </si>
  <si>
    <t>стоимость     1 ж/бетон.  бордюра</t>
  </si>
  <si>
    <t>стоимость      1 песч-го пордюра</t>
  </si>
  <si>
    <t>Строительство дорог</t>
  </si>
  <si>
    <t>Мкр. «3-й градокомплекс»</t>
  </si>
  <si>
    <t>Мкр. «Карасу»</t>
  </si>
  <si>
    <t>мкр. "Думан"</t>
  </si>
  <si>
    <t>ТОО "Нурмаржан Стройсервис"</t>
  </si>
  <si>
    <t>мкр. "Ожет"</t>
  </si>
  <si>
    <t>Итого:</t>
  </si>
  <si>
    <t>Пр. Алтынсарина                            (от ул. Маречека до ул. Жандосова)</t>
  </si>
  <si>
    <t>ТОО ПСФ "АЛОНС"</t>
  </si>
  <si>
    <t>Ул. Гоголя (пр. Сейфуллина-ул. Ауэзова)</t>
  </si>
  <si>
    <t>ТОО СУ "Гордорстрой-2"</t>
  </si>
  <si>
    <t>ул.Исиналиева в мкр.Казахфильм</t>
  </si>
  <si>
    <t>ТОО СУ "Гордорремстрой"</t>
  </si>
  <si>
    <t>ул.Курмангазы (Муканова-Кармысова)</t>
  </si>
  <si>
    <t>ул..Гагарина (от ул.Толе би до ул. Джандосова)</t>
  </si>
  <si>
    <t>ул. Толе би (от ул.Байтурсынова до ул.Брусиловского)</t>
  </si>
  <si>
    <t>ул. Акпаева (ул.Яблочкова – пр. Суюнбая)</t>
  </si>
  <si>
    <t>ул.Верненская, Балтабаевская (от ул.Базарбаева до ул.И.Коныра)</t>
  </si>
  <si>
    <t>ул.Бекболата (северное кольцо - конечная)</t>
  </si>
  <si>
    <t>ул.Тобаякова (от ул.Жансугурова – пр.Сейфуллина)</t>
  </si>
  <si>
    <t>ул.Улугбека (Алтынсарина-Момыш улы)</t>
  </si>
  <si>
    <t>Дороги студенческого городка КазГУ</t>
  </si>
  <si>
    <t>Шевченко (Кунаева-Жарокова)</t>
  </si>
  <si>
    <t>ул. Майлина до Кульджинского тракта</t>
  </si>
  <si>
    <t>Ул. Жубанова (от ул. Утеген батыра до ул. Момыш-улы)</t>
  </si>
  <si>
    <t>Ул. Герцена (от пр. Рыскулова до ул. Громова)</t>
  </si>
  <si>
    <t>Ул. Потанина (Рыскулова - Енисейская)</t>
  </si>
  <si>
    <t>Ул. Фадеева (от ул. Немировича-Данченко до vл. Кvдерина)</t>
  </si>
  <si>
    <t>Ул. Барибаева (от ул. Толе би до ул. Макатаева)</t>
  </si>
  <si>
    <t>Ул. Братская (от пр. Райымбека до пр. Рыскулова)</t>
  </si>
  <si>
    <t>Ул. Гёте (от ул. Бекмаханова до ул. Рvставели)</t>
  </si>
  <si>
    <t>Ул. Немировича-Данченко (от пр. Райымбека до пр. Рыскvлова)</t>
  </si>
  <si>
    <t>Ул. Ниязбекова (от ул. Казакова до ул. Рыскулова)</t>
  </si>
  <si>
    <t>Ул.Фёдорова (от ул. Ниязбекова до ул. Крылова)</t>
  </si>
  <si>
    <t>Ул. Туркебаева (от пр. Райымбека до ул. Сатпаева)</t>
  </si>
  <si>
    <t>Ул. Казакова ( от пр. Райымбека до ул. Крылова)</t>
  </si>
  <si>
    <t>Ул. Усть-Каменогорская (от пр. Райымбека до ул. Фадеева)</t>
  </si>
  <si>
    <t>Ул.Сулейменова (от ул. Жандосова до ул. Рыскvлбекова)</t>
  </si>
  <si>
    <t>Ул. Шевченко (от ул. Манаса до ул. Ауэзова)</t>
  </si>
  <si>
    <t>Дорога в сан. Алатау</t>
  </si>
  <si>
    <t>Ул. Дублёр пр. Саина - восточная сторона</t>
  </si>
  <si>
    <t>Ул.Таттимбета и КызЖибек</t>
  </si>
  <si>
    <t>Дорога в пос. Алатау</t>
  </si>
  <si>
    <t>Ул. Орманова(от ул. Базарбаева до ул. Богенбай батыра)</t>
  </si>
  <si>
    <t>Ул. Горная пр. Достык</t>
  </si>
  <si>
    <t>М-н "Заря Востока"</t>
  </si>
  <si>
    <t>М-н "Дархан"</t>
  </si>
  <si>
    <t>М-н "Карасу"</t>
  </si>
  <si>
    <t>Ул. Ангарская (Бокейханова-Айнабулак)</t>
  </si>
  <si>
    <t>Ул. Ахан Серэ (Сейфуллина-Шолохова)</t>
  </si>
  <si>
    <t>Ул. Таймырская (Камаз центр)</t>
  </si>
  <si>
    <t>Территория, прилегающая к Академии наук</t>
  </si>
  <si>
    <t>Прилегающая территория к Вокзалу-1</t>
  </si>
  <si>
    <t>ул.Дулати (Аль-Фараби-до границы города)</t>
  </si>
  <si>
    <t>ул.Уалиханова (Абая-Сатпаева)</t>
  </si>
  <si>
    <t>Центральная в мкр.Таугуль-3</t>
  </si>
  <si>
    <t xml:space="preserve">дорога в мкр.Айгерим </t>
  </si>
  <si>
    <t>мкр.Курылысши (Жетысуский район)</t>
  </si>
  <si>
    <t xml:space="preserve">Ходжанова </t>
  </si>
  <si>
    <t>Байсеитова (пл.Республики-Кабанбай батыра)</t>
  </si>
  <si>
    <t>мкр.Курылысши (Ауэзовский район)</t>
  </si>
  <si>
    <t>Базарбаева (Оренбургская-Орманова)</t>
  </si>
  <si>
    <t>Добролюбова (Райымбека-Оренбургская)</t>
  </si>
  <si>
    <t>Алматинская</t>
  </si>
  <si>
    <t>Арычная в мкр."Казахфильм"</t>
  </si>
  <si>
    <t xml:space="preserve">Оренбургская (Добролюбова - Базарбаева) </t>
  </si>
  <si>
    <t>Ондасынова (мкр."Юбилейный")</t>
  </si>
  <si>
    <t>Райымбека (Добролюбова - Жетысуская)</t>
  </si>
  <si>
    <t>ул.Ондасынова 2 (мкр. "Юбилейный")</t>
  </si>
  <si>
    <t>ул.Желтоксан</t>
  </si>
  <si>
    <t>ТОО "Стройкомпания ЛМ"</t>
  </si>
  <si>
    <t>дороги мкр.Кок-Тобе</t>
  </si>
  <si>
    <t>Азербаева (от Деваева до тупика)</t>
  </si>
  <si>
    <t>ТОО "BSD"</t>
  </si>
  <si>
    <t>Шокая (Оренбургская - Дачи)</t>
  </si>
  <si>
    <t>Кабанбай батыра (Розыбакиева - Байтурсынова)</t>
  </si>
  <si>
    <t>Ломоносова (Сейфуллина - ж/дороги)</t>
  </si>
  <si>
    <t>ТОО "Акжол Курылыс и К"</t>
  </si>
  <si>
    <t>дороги в мкр.Баганашил</t>
  </si>
  <si>
    <t>ул.Москвина</t>
  </si>
  <si>
    <t>ул.Новая в мкр.Коктюбе</t>
  </si>
  <si>
    <t>ул.Джамбула от ул.Фурманова-300м,в западном направлении</t>
  </si>
  <si>
    <t>ул.Фурманова(остановочные комплексы)</t>
  </si>
  <si>
    <t>перекресток ул.Жандосова-ул.Яссау</t>
  </si>
  <si>
    <t>ул.Есенова(сидоркина-Тургеньская)</t>
  </si>
  <si>
    <t>ул.Жургенева(Пушкина-Тянь-Шаньская)</t>
  </si>
  <si>
    <t>ул.Тайманова</t>
  </si>
  <si>
    <t>подъездная дорога к ТОО"Маслодел"</t>
  </si>
  <si>
    <t>ул.Тепличная</t>
  </si>
  <si>
    <t>ул.Шахана Мусина мкр.Таугуль-3</t>
  </si>
  <si>
    <t>ул.Байсеитова (Гоголя-Жибек жолы)</t>
  </si>
  <si>
    <t>ул.Новая-2 в мкр.Коктюбе</t>
  </si>
  <si>
    <t>ул. Жарокова (Толе би-Утепова)</t>
  </si>
  <si>
    <t>ул. Левитана (Каблукова-мкр.Алмагуль)</t>
  </si>
  <si>
    <t>ул. Новосельская (Грибоедова-Татибекова)</t>
  </si>
  <si>
    <t>ул. Островского (Сейфуллина-Тобаякова)</t>
  </si>
  <si>
    <t>ул. Баянаульская (Суюнбая-Станиславского)</t>
  </si>
  <si>
    <t>ул. Гастелло (Рыскулова-Жангельдина)</t>
  </si>
  <si>
    <t>ул. Грибоедова (Мусоргского-Новосельская)</t>
  </si>
  <si>
    <t>ул. Бузурбаева (Казыбек би-Макатаева)</t>
  </si>
  <si>
    <t>ул. Бурундайская (Жансугурова-Капч. Мост)</t>
  </si>
  <si>
    <t>ул. Павлодарская (мкр.Карасу-мкр.Айнабулак)</t>
  </si>
  <si>
    <t>дорога на Шымбулак</t>
  </si>
  <si>
    <t>Жилой комплекс севернее пр.Аль-Фараби восточнее ул.Ходжанова</t>
  </si>
  <si>
    <t>Подъезд. дорога и внутр.площ.дороги сана.Просвищенец</t>
  </si>
  <si>
    <t>ул. Суюнбая (РВ-90) (Бекмаханова-гр. Города)</t>
  </si>
  <si>
    <t>Дорога в сан.Просвещенец</t>
  </si>
  <si>
    <t>ул.Молагулова</t>
  </si>
  <si>
    <t>ТОО Жетысужолдары"</t>
  </si>
  <si>
    <t>мкр."Жана Кок-Тобе"</t>
  </si>
  <si>
    <t>Дорога на кладбище Кенсай-1, 2</t>
  </si>
  <si>
    <t>АО АК "Казахстан жолдары"</t>
  </si>
  <si>
    <t>Пушкина  (Райымбека-Гоголя)</t>
  </si>
  <si>
    <t>Утеген батыра  (Райымбека-Шаляпина)</t>
  </si>
  <si>
    <t>Муканова  (Макатаева - Абая)</t>
  </si>
  <si>
    <t>Зорге  (Шолохова-ж/д вокзал-1)</t>
  </si>
  <si>
    <t>Спасская  (Земнухова - Бекмаханова)</t>
  </si>
  <si>
    <t>Навои (Жандосова - Аль-Фараби)</t>
  </si>
  <si>
    <t>Кунаева (Абая - Райымбека)</t>
  </si>
  <si>
    <t>Маречека (Утеген батыра - Садвакасова)</t>
  </si>
  <si>
    <t>Кожабекова (Розыбакиева - Гагарина)</t>
  </si>
  <si>
    <t>Биржана (Саина - Навои)</t>
  </si>
  <si>
    <t>Айманова (Тимирязева - Жандосова)</t>
  </si>
  <si>
    <t>пос.Алатау</t>
  </si>
  <si>
    <t>Закарпатская (пос.Колхозши - граница города)</t>
  </si>
  <si>
    <t>Физули (Майлина - Б.Хмельницкого)</t>
  </si>
  <si>
    <t>Осипенко (Федеративная - ж/д Вокзал-1)</t>
  </si>
  <si>
    <t>Поддубного (Захарова - Озеро)</t>
  </si>
  <si>
    <t>Федеративная (Осипенко - Жансугурова)</t>
  </si>
  <si>
    <t>Дорога на Ремизовку</t>
  </si>
  <si>
    <t>Шолохова (Федеративная - Суюнбая)</t>
  </si>
  <si>
    <t>Прилегающая территория к зданию Администрации</t>
  </si>
  <si>
    <t>ул.Жасканат (Бухар Жырау-Тимирязева)</t>
  </si>
  <si>
    <t xml:space="preserve">                                                              I - полугодие</t>
  </si>
  <si>
    <t>АО "ДЭУ-Атобаза"</t>
  </si>
  <si>
    <t>75 835 м2</t>
  </si>
  <si>
    <t>Подъем люков без стоимости</t>
  </si>
  <si>
    <t>350 шт</t>
  </si>
  <si>
    <t>Подъем люков со стоимостью</t>
  </si>
  <si>
    <t>250 шт</t>
  </si>
  <si>
    <t xml:space="preserve">                                                              II - полугодие</t>
  </si>
  <si>
    <t>ВСЕГО: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</si>
</sst>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&quot;р.&quot;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0.000"/>
    <numFmt numFmtId="175" formatCode="0.00000"/>
    <numFmt numFmtId="176" formatCode="0.0000000"/>
    <numFmt numFmtId="177" formatCode="0.000000"/>
    <numFmt numFmtId="178" formatCode="#,##0.0"/>
    <numFmt numFmtId="179" formatCode="#,##0.000"/>
  </numFmts>
  <fonts count="11">
    <font>
      <sz val="10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10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10" xfId="0" applyFont="1" applyFill="1" applyBorder="1" applyAlignment="1">
      <alignment vertical="top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vertical="top" wrapText="1"/>
    </xf>
    <xf numFmtId="0" fontId="2" fillId="0" borderId="26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2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/>
    </xf>
    <xf numFmtId="0" fontId="2" fillId="2" borderId="19" xfId="0" applyFont="1" applyFill="1" applyBorder="1" applyAlignment="1">
      <alignment wrapText="1"/>
    </xf>
    <xf numFmtId="164" fontId="2" fillId="0" borderId="19" xfId="0" applyNumberFormat="1" applyFont="1" applyFill="1" applyBorder="1" applyAlignment="1">
      <alignment horizontal="center" vertical="top"/>
    </xf>
    <xf numFmtId="1" fontId="2" fillId="0" borderId="22" xfId="0" applyNumberFormat="1" applyFont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wrapText="1"/>
    </xf>
    <xf numFmtId="0" fontId="2" fillId="2" borderId="26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0" borderId="3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justify" vertical="top" wrapText="1"/>
    </xf>
    <xf numFmtId="2" fontId="2" fillId="0" borderId="2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3" fontId="2" fillId="0" borderId="3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vertical="top" wrapText="1"/>
    </xf>
    <xf numFmtId="4" fontId="2" fillId="0" borderId="41" xfId="0" applyNumberFormat="1" applyFont="1" applyBorder="1" applyAlignment="1">
      <alignment horizontal="center" vertical="top" wrapText="1"/>
    </xf>
    <xf numFmtId="178" fontId="2" fillId="0" borderId="41" xfId="0" applyNumberFormat="1" applyFont="1" applyBorder="1" applyAlignment="1">
      <alignment horizontal="center" vertical="top" wrapText="1"/>
    </xf>
    <xf numFmtId="179" fontId="2" fillId="0" borderId="41" xfId="0" applyNumberFormat="1" applyFont="1" applyBorder="1" applyAlignment="1">
      <alignment horizontal="center" vertical="top" wrapText="1"/>
    </xf>
    <xf numFmtId="3" fontId="2" fillId="0" borderId="41" xfId="0" applyNumberFormat="1" applyFont="1" applyBorder="1" applyAlignment="1">
      <alignment horizontal="center" vertical="top" wrapText="1"/>
    </xf>
    <xf numFmtId="178" fontId="2" fillId="0" borderId="4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vertical="top" wrapText="1"/>
    </xf>
    <xf numFmtId="4" fontId="2" fillId="0" borderId="42" xfId="0" applyNumberFormat="1" applyFont="1" applyBorder="1" applyAlignment="1">
      <alignment horizontal="center" vertical="top" wrapText="1"/>
    </xf>
    <xf numFmtId="178" fontId="2" fillId="0" borderId="42" xfId="0" applyNumberFormat="1" applyFont="1" applyBorder="1" applyAlignment="1">
      <alignment horizontal="center" vertical="top" wrapText="1"/>
    </xf>
    <xf numFmtId="179" fontId="2" fillId="0" borderId="42" xfId="0" applyNumberFormat="1" applyFont="1" applyBorder="1" applyAlignment="1">
      <alignment horizontal="center" vertical="top" wrapText="1"/>
    </xf>
    <xf numFmtId="3" fontId="2" fillId="0" borderId="42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center" vertical="top"/>
    </xf>
    <xf numFmtId="0" fontId="2" fillId="0" borderId="42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/>
    </xf>
    <xf numFmtId="3" fontId="2" fillId="0" borderId="4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left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178" fontId="2" fillId="0" borderId="43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178" fontId="2" fillId="0" borderId="43" xfId="17" applyNumberFormat="1" applyFont="1" applyBorder="1" applyAlignment="1">
      <alignment horizontal="center" vertical="center"/>
      <protection/>
    </xf>
    <xf numFmtId="0" fontId="2" fillId="0" borderId="43" xfId="0" applyNumberFormat="1" applyFont="1" applyBorder="1" applyAlignment="1">
      <alignment horizontal="center" vertical="center" wrapText="1"/>
    </xf>
    <xf numFmtId="178" fontId="2" fillId="0" borderId="43" xfId="17" applyNumberFormat="1" applyFont="1" applyFill="1" applyBorder="1" applyAlignment="1">
      <alignment horizontal="center" vertical="center"/>
      <protection/>
    </xf>
    <xf numFmtId="0" fontId="2" fillId="0" borderId="41" xfId="0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4" fillId="0" borderId="42" xfId="0" applyFont="1" applyBorder="1" applyAlignment="1">
      <alignment horizontal="left"/>
    </xf>
    <xf numFmtId="178" fontId="4" fillId="0" borderId="4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164" fontId="2" fillId="0" borderId="45" xfId="0" applyNumberFormat="1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164" fontId="2" fillId="0" borderId="41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vertical="top" wrapText="1"/>
    </xf>
    <xf numFmtId="178" fontId="2" fillId="0" borderId="45" xfId="0" applyNumberFormat="1" applyFont="1" applyBorder="1" applyAlignment="1">
      <alignment horizontal="center" vertical="top" wrapText="1"/>
    </xf>
    <xf numFmtId="179" fontId="2" fillId="0" borderId="45" xfId="0" applyNumberFormat="1" applyFont="1" applyBorder="1" applyAlignment="1">
      <alignment horizontal="center" vertical="top" wrapText="1"/>
    </xf>
    <xf numFmtId="3" fontId="2" fillId="0" borderId="45" xfId="0" applyNumberFormat="1" applyFont="1" applyBorder="1" applyAlignment="1">
      <alignment horizontal="center" vertical="top" wrapText="1"/>
    </xf>
    <xf numFmtId="178" fontId="2" fillId="0" borderId="14" xfId="0" applyNumberFormat="1" applyFont="1" applyBorder="1" applyAlignment="1">
      <alignment horizontal="center" vertical="top"/>
    </xf>
    <xf numFmtId="178" fontId="2" fillId="0" borderId="45" xfId="0" applyNumberFormat="1" applyFont="1" applyFill="1" applyBorder="1" applyAlignment="1">
      <alignment horizontal="center" vertical="top" wrapText="1"/>
    </xf>
    <xf numFmtId="0" fontId="2" fillId="0" borderId="45" xfId="0" applyNumberFormat="1" applyFont="1" applyBorder="1" applyAlignment="1">
      <alignment horizontal="center" vertical="top" wrapText="1"/>
    </xf>
    <xf numFmtId="178" fontId="2" fillId="0" borderId="46" xfId="0" applyNumberFormat="1" applyFont="1" applyBorder="1" applyAlignment="1">
      <alignment horizontal="center" vertical="top" wrapText="1"/>
    </xf>
    <xf numFmtId="3" fontId="2" fillId="0" borderId="40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 vertical="top" wrapText="1"/>
    </xf>
    <xf numFmtId="178" fontId="2" fillId="0" borderId="31" xfId="0" applyNumberFormat="1" applyFont="1" applyFill="1" applyBorder="1" applyAlignment="1">
      <alignment horizontal="center" vertical="top"/>
    </xf>
    <xf numFmtId="178" fontId="2" fillId="0" borderId="40" xfId="0" applyNumberFormat="1" applyFont="1" applyBorder="1" applyAlignment="1">
      <alignment horizontal="center" vertical="top" wrapText="1"/>
    </xf>
    <xf numFmtId="178" fontId="2" fillId="0" borderId="41" xfId="0" applyNumberFormat="1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>
      <alignment horizontal="center" vertical="top"/>
    </xf>
    <xf numFmtId="178" fontId="2" fillId="0" borderId="41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178" fontId="2" fillId="0" borderId="51" xfId="0" applyNumberFormat="1" applyFont="1" applyBorder="1" applyAlignment="1">
      <alignment horizontal="center" vertical="top" wrapText="1"/>
    </xf>
    <xf numFmtId="0" fontId="2" fillId="3" borderId="49" xfId="0" applyFont="1" applyFill="1" applyBorder="1" applyAlignment="1">
      <alignment horizontal="left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3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2" borderId="43" xfId="0" applyFont="1" applyFill="1" applyBorder="1" applyAlignment="1">
      <alignment horizontal="left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wrapText="1"/>
    </xf>
    <xf numFmtId="1" fontId="2" fillId="0" borderId="41" xfId="0" applyNumberFormat="1" applyFont="1" applyBorder="1" applyAlignment="1">
      <alignment horizontal="center"/>
    </xf>
    <xf numFmtId="0" fontId="2" fillId="3" borderId="41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3" borderId="49" xfId="0" applyFont="1" applyFill="1" applyBorder="1" applyAlignment="1">
      <alignment horizontal="left" wrapText="1"/>
    </xf>
    <xf numFmtId="0" fontId="2" fillId="3" borderId="49" xfId="0" applyFont="1" applyFill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2" fillId="2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3" borderId="42" xfId="0" applyFont="1" applyFill="1" applyBorder="1" applyAlignment="1">
      <alignment/>
    </xf>
    <xf numFmtId="0" fontId="2" fillId="3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78" fontId="2" fillId="2" borderId="45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center" wrapText="1"/>
    </xf>
    <xf numFmtId="178" fontId="2" fillId="2" borderId="49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3" xfId="0" applyFont="1" applyBorder="1" applyAlignment="1">
      <alignment/>
    </xf>
    <xf numFmtId="0" fontId="4" fillId="0" borderId="64" xfId="0" applyFont="1" applyBorder="1" applyAlignment="1">
      <alignment/>
    </xf>
    <xf numFmtId="49" fontId="4" fillId="0" borderId="64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164" fontId="4" fillId="0" borderId="6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57" xfId="0" applyFont="1" applyBorder="1" applyAlignment="1">
      <alignment vertical="center" wrapText="1"/>
    </xf>
    <xf numFmtId="49" fontId="4" fillId="2" borderId="51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8" fontId="2" fillId="0" borderId="62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178" fontId="4" fillId="0" borderId="51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 vertical="top" wrapText="1"/>
    </xf>
    <xf numFmtId="164" fontId="2" fillId="0" borderId="40" xfId="0" applyNumberFormat="1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8" fillId="2" borderId="42" xfId="0" applyFont="1" applyFill="1" applyBorder="1" applyAlignment="1">
      <alignment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left" vertical="center" wrapText="1"/>
    </xf>
    <xf numFmtId="164" fontId="9" fillId="2" borderId="49" xfId="0" applyNumberFormat="1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left" vertical="center" wrapText="1"/>
    </xf>
    <xf numFmtId="164" fontId="9" fillId="2" borderId="43" xfId="0" applyNumberFormat="1" applyFont="1" applyFill="1" applyBorder="1" applyAlignment="1">
      <alignment horizontal="center" vertical="center" wrapText="1"/>
    </xf>
    <xf numFmtId="164" fontId="9" fillId="2" borderId="41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left" vertical="center" wrapText="1"/>
    </xf>
    <xf numFmtId="164" fontId="9" fillId="2" borderId="42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178" fontId="9" fillId="2" borderId="45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left" vertical="center" wrapText="1"/>
    </xf>
    <xf numFmtId="178" fontId="9" fillId="2" borderId="49" xfId="0" applyNumberFormat="1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2" borderId="10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2" borderId="11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wrapText="1"/>
    </xf>
    <xf numFmtId="0" fontId="9" fillId="2" borderId="2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justify" vertical="top" wrapText="1"/>
    </xf>
    <xf numFmtId="0" fontId="9" fillId="2" borderId="11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164" fontId="9" fillId="2" borderId="16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top"/>
    </xf>
    <xf numFmtId="2" fontId="9" fillId="2" borderId="16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8" fillId="2" borderId="5" xfId="0" applyFont="1" applyFill="1" applyBorder="1" applyAlignment="1">
      <alignment wrapText="1"/>
    </xf>
    <xf numFmtId="0" fontId="8" fillId="2" borderId="3" xfId="0" applyNumberFormat="1" applyFont="1" applyFill="1" applyBorder="1" applyAlignment="1">
      <alignment horizontal="center" vertical="center" wrapText="1"/>
    </xf>
    <xf numFmtId="178" fontId="9" fillId="2" borderId="16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9" fillId="2" borderId="47" xfId="0" applyFont="1" applyFill="1" applyBorder="1" applyAlignment="1">
      <alignment horizontal="center" vertical="center" wrapText="1"/>
    </xf>
    <xf numFmtId="3" fontId="9" fillId="2" borderId="4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0" fontId="9" fillId="2" borderId="57" xfId="0" applyFont="1" applyFill="1" applyBorder="1" applyAlignment="1">
      <alignment horizontal="center" vertical="center" wrapText="1"/>
    </xf>
    <xf numFmtId="3" fontId="9" fillId="2" borderId="42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2" fontId="9" fillId="2" borderId="41" xfId="0" applyNumberFormat="1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0" fontId="9" fillId="2" borderId="6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9" fillId="2" borderId="43" xfId="0" applyNumberFormat="1" applyFont="1" applyFill="1" applyBorder="1" applyAlignment="1">
      <alignment horizontal="left" vertical="center" wrapText="1"/>
    </xf>
    <xf numFmtId="4" fontId="9" fillId="2" borderId="43" xfId="0" applyNumberFormat="1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left"/>
    </xf>
    <xf numFmtId="178" fontId="8" fillId="2" borderId="42" xfId="0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3" fontId="9" fillId="2" borderId="45" xfId="0" applyNumberFormat="1" applyFont="1" applyFill="1" applyBorder="1" applyAlignment="1">
      <alignment vertical="top" wrapText="1"/>
    </xf>
    <xf numFmtId="178" fontId="9" fillId="2" borderId="45" xfId="0" applyNumberFormat="1" applyFont="1" applyFill="1" applyBorder="1" applyAlignment="1">
      <alignment horizontal="center" vertical="top" wrapText="1"/>
    </xf>
    <xf numFmtId="178" fontId="9" fillId="2" borderId="41" xfId="0" applyNumberFormat="1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 wrapText="1"/>
    </xf>
    <xf numFmtId="164" fontId="0" fillId="2" borderId="45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left"/>
    </xf>
    <xf numFmtId="0" fontId="9" fillId="2" borderId="45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left" wrapText="1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left" wrapText="1"/>
    </xf>
    <xf numFmtId="0" fontId="9" fillId="2" borderId="49" xfId="0" applyFont="1" applyFill="1" applyBorder="1" applyAlignment="1">
      <alignment horizontal="center"/>
    </xf>
    <xf numFmtId="0" fontId="9" fillId="2" borderId="41" xfId="0" applyFont="1" applyFill="1" applyBorder="1" applyAlignment="1">
      <alignment/>
    </xf>
    <xf numFmtId="0" fontId="9" fillId="2" borderId="57" xfId="0" applyFont="1" applyFill="1" applyBorder="1" applyAlignment="1">
      <alignment horizontal="center"/>
    </xf>
    <xf numFmtId="0" fontId="9" fillId="2" borderId="42" xfId="0" applyFont="1" applyFill="1" applyBorder="1" applyAlignment="1">
      <alignment/>
    </xf>
    <xf numFmtId="0" fontId="9" fillId="2" borderId="42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57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63" xfId="0" applyFont="1" applyFill="1" applyBorder="1" applyAlignment="1">
      <alignment/>
    </xf>
    <xf numFmtId="0" fontId="8" fillId="2" borderId="64" xfId="0" applyFont="1" applyFill="1" applyBorder="1" applyAlignment="1">
      <alignment/>
    </xf>
    <xf numFmtId="49" fontId="8" fillId="2" borderId="6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top" wrapText="1"/>
    </xf>
    <xf numFmtId="0" fontId="8" fillId="2" borderId="6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Накопит. ведомость. Средний ремон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161925</xdr:colOff>
      <xdr:row>145</xdr:row>
      <xdr:rowOff>47625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315700" y="4902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zoomScale="75" zoomScaleNormal="75" workbookViewId="0" topLeftCell="H1">
      <selection activeCell="M16" sqref="M16"/>
    </sheetView>
  </sheetViews>
  <sheetFormatPr defaultColWidth="9.00390625" defaultRowHeight="12.75"/>
  <cols>
    <col min="1" max="1" width="4.75390625" style="1" customWidth="1"/>
    <col min="2" max="2" width="19.75390625" style="1" customWidth="1"/>
    <col min="3" max="3" width="32.125" style="1" customWidth="1"/>
    <col min="4" max="4" width="11.375" style="33" customWidth="1"/>
    <col min="5" max="5" width="18.00390625" style="33" customWidth="1"/>
    <col min="6" max="6" width="11.625" style="33" customWidth="1"/>
    <col min="7" max="7" width="13.625" style="33" customWidth="1"/>
    <col min="8" max="8" width="11.75390625" style="33" customWidth="1"/>
    <col min="9" max="9" width="10.75390625" style="33" customWidth="1"/>
    <col min="10" max="10" width="12.625" style="33" customWidth="1"/>
    <col min="11" max="11" width="12.125" style="33" customWidth="1"/>
    <col min="12" max="13" width="14.00390625" style="33" customWidth="1"/>
    <col min="14" max="15" width="14.375" style="33" customWidth="1"/>
    <col min="16" max="18" width="14.125" style="33" customWidth="1"/>
    <col min="19" max="19" width="12.625" style="33" customWidth="1"/>
  </cols>
  <sheetData>
    <row r="1" spans="1:19" ht="22.5">
      <c r="A1" s="697" t="s">
        <v>85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</row>
    <row r="2" spans="1:19" ht="18.75">
      <c r="A2" s="698" t="s">
        <v>13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</row>
    <row r="3" spans="1:19" ht="18.75">
      <c r="A3" s="698" t="s">
        <v>139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</row>
    <row r="4" spans="1:2" ht="16.5" thickBot="1">
      <c r="A4" s="2"/>
      <c r="B4" s="2"/>
    </row>
    <row r="5" spans="1:19" ht="16.5" thickBot="1">
      <c r="A5" s="699" t="s">
        <v>20</v>
      </c>
      <c r="B5" s="699" t="s">
        <v>83</v>
      </c>
      <c r="C5" s="699" t="s">
        <v>81</v>
      </c>
      <c r="D5" s="702" t="s">
        <v>140</v>
      </c>
      <c r="E5" s="699" t="s">
        <v>141</v>
      </c>
      <c r="F5" s="699" t="s">
        <v>142</v>
      </c>
      <c r="G5" s="670" t="s">
        <v>135</v>
      </c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2"/>
    </row>
    <row r="6" spans="1:19" ht="16.5" thickBot="1">
      <c r="A6" s="700"/>
      <c r="B6" s="700"/>
      <c r="C6" s="700"/>
      <c r="D6" s="703"/>
      <c r="E6" s="700"/>
      <c r="F6" s="700"/>
      <c r="G6" s="700" t="s">
        <v>134</v>
      </c>
      <c r="H6" s="699" t="s">
        <v>143</v>
      </c>
      <c r="I6" s="530" t="s">
        <v>144</v>
      </c>
      <c r="J6" s="531"/>
      <c r="K6" s="532"/>
      <c r="L6" s="530" t="s">
        <v>104</v>
      </c>
      <c r="M6" s="531"/>
      <c r="N6" s="531"/>
      <c r="O6" s="531"/>
      <c r="P6" s="531"/>
      <c r="Q6" s="532"/>
      <c r="R6" s="700" t="s">
        <v>145</v>
      </c>
      <c r="S6" s="700" t="s">
        <v>146</v>
      </c>
    </row>
    <row r="7" spans="1:19" ht="48" thickBot="1">
      <c r="A7" s="701"/>
      <c r="B7" s="701"/>
      <c r="C7" s="701"/>
      <c r="D7" s="704"/>
      <c r="E7" s="701"/>
      <c r="F7" s="701"/>
      <c r="G7" s="701"/>
      <c r="H7" s="701"/>
      <c r="I7" s="44" t="s">
        <v>147</v>
      </c>
      <c r="J7" s="243" t="s">
        <v>148</v>
      </c>
      <c r="K7" s="40" t="s">
        <v>149</v>
      </c>
      <c r="L7" s="45" t="s">
        <v>133</v>
      </c>
      <c r="M7" s="40" t="s">
        <v>150</v>
      </c>
      <c r="N7" s="44" t="s">
        <v>132</v>
      </c>
      <c r="O7" s="40" t="s">
        <v>151</v>
      </c>
      <c r="P7" s="44" t="s">
        <v>131</v>
      </c>
      <c r="Q7" s="40" t="s">
        <v>152</v>
      </c>
      <c r="R7" s="700"/>
      <c r="S7" s="700"/>
    </row>
    <row r="8" spans="1:19" ht="16.5" thickBot="1">
      <c r="A8" s="46">
        <v>1</v>
      </c>
      <c r="B8" s="46">
        <v>2</v>
      </c>
      <c r="C8" s="47">
        <v>4</v>
      </c>
      <c r="D8" s="48">
        <v>5</v>
      </c>
      <c r="E8" s="41">
        <v>6</v>
      </c>
      <c r="F8" s="41">
        <v>7</v>
      </c>
      <c r="G8" s="49">
        <v>8</v>
      </c>
      <c r="H8" s="42">
        <v>9</v>
      </c>
      <c r="I8" s="49">
        <v>10</v>
      </c>
      <c r="J8" s="49">
        <v>11</v>
      </c>
      <c r="K8" s="42">
        <v>12</v>
      </c>
      <c r="L8" s="49">
        <v>13</v>
      </c>
      <c r="M8" s="43">
        <v>14</v>
      </c>
      <c r="N8" s="43">
        <v>15</v>
      </c>
      <c r="O8" s="43">
        <v>16</v>
      </c>
      <c r="P8" s="43">
        <v>17</v>
      </c>
      <c r="Q8" s="43">
        <v>18</v>
      </c>
      <c r="R8" s="49">
        <v>19</v>
      </c>
      <c r="S8" s="49">
        <v>20</v>
      </c>
    </row>
    <row r="9" spans="1:19" ht="16.5" thickBot="1">
      <c r="A9" s="640" t="s">
        <v>153</v>
      </c>
      <c r="B9" s="641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15"/>
    </row>
    <row r="10" spans="1:19" ht="15.75">
      <c r="A10" s="245">
        <v>1</v>
      </c>
      <c r="B10" s="557" t="s">
        <v>1</v>
      </c>
      <c r="C10" s="246" t="s">
        <v>154</v>
      </c>
      <c r="D10" s="247">
        <v>4.65</v>
      </c>
      <c r="E10" s="248">
        <v>88353.6</v>
      </c>
      <c r="F10" s="249">
        <f>E10/D10</f>
        <v>19000.774193548386</v>
      </c>
      <c r="G10" s="250">
        <v>31831</v>
      </c>
      <c r="H10" s="251">
        <f>42627913/G10</f>
        <v>1339.194904338538</v>
      </c>
      <c r="I10" s="250">
        <v>7</v>
      </c>
      <c r="J10" s="250">
        <v>29</v>
      </c>
      <c r="K10" s="250">
        <f>661027/(I10+J10)</f>
        <v>18361.86111111111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2">
        <v>0</v>
      </c>
      <c r="S10" s="250">
        <v>0</v>
      </c>
    </row>
    <row r="11" spans="1:19" ht="15.75">
      <c r="A11" s="253">
        <v>2</v>
      </c>
      <c r="B11" s="558"/>
      <c r="C11" s="254" t="s">
        <v>155</v>
      </c>
      <c r="D11" s="255">
        <v>4.24</v>
      </c>
      <c r="E11" s="256">
        <v>99768.1</v>
      </c>
      <c r="F11" s="257">
        <f>E11/D11</f>
        <v>23530.212264150945</v>
      </c>
      <c r="G11" s="258">
        <v>28095</v>
      </c>
      <c r="H11" s="259">
        <f>37155103/G11</f>
        <v>1322.4809752625022</v>
      </c>
      <c r="I11" s="258">
        <v>22</v>
      </c>
      <c r="J11" s="258">
        <v>4</v>
      </c>
      <c r="K11" s="258">
        <f>982178/(I11+J11)</f>
        <v>37776.07692307692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60">
        <v>0</v>
      </c>
      <c r="S11" s="258">
        <v>0</v>
      </c>
    </row>
    <row r="12" spans="1:19" ht="15.75">
      <c r="A12" s="245">
        <v>3</v>
      </c>
      <c r="B12" s="245" t="s">
        <v>73</v>
      </c>
      <c r="C12" s="261" t="s">
        <v>156</v>
      </c>
      <c r="D12" s="245">
        <v>5.03</v>
      </c>
      <c r="E12" s="245">
        <v>86805.014</v>
      </c>
      <c r="F12" s="245">
        <f>E12/D12</f>
        <v>17257.45805168986</v>
      </c>
      <c r="G12" s="245">
        <v>32737</v>
      </c>
      <c r="H12" s="245">
        <v>2652</v>
      </c>
      <c r="I12" s="245">
        <v>36</v>
      </c>
      <c r="J12" s="245">
        <v>30</v>
      </c>
      <c r="K12" s="245">
        <v>5714</v>
      </c>
      <c r="L12" s="262"/>
      <c r="M12" s="262"/>
      <c r="N12" s="262"/>
      <c r="O12" s="262"/>
      <c r="P12" s="262"/>
      <c r="Q12" s="262"/>
      <c r="R12" s="262"/>
      <c r="S12" s="263"/>
    </row>
    <row r="13" spans="1:19" ht="31.5">
      <c r="A13" s="245">
        <v>4</v>
      </c>
      <c r="B13" s="245" t="s">
        <v>157</v>
      </c>
      <c r="C13" s="261" t="s">
        <v>158</v>
      </c>
      <c r="D13" s="264">
        <v>4.47</v>
      </c>
      <c r="E13" s="245">
        <v>163762.2</v>
      </c>
      <c r="F13" s="245">
        <v>34224.1</v>
      </c>
      <c r="G13" s="245">
        <v>38775</v>
      </c>
      <c r="H13" s="245">
        <v>4223.3</v>
      </c>
      <c r="I13" s="245">
        <v>25</v>
      </c>
      <c r="J13" s="245"/>
      <c r="K13" s="245">
        <v>5605.04</v>
      </c>
      <c r="L13" s="245"/>
      <c r="M13" s="245"/>
      <c r="N13" s="245">
        <v>795</v>
      </c>
      <c r="O13" s="245">
        <v>1010</v>
      </c>
      <c r="P13" s="245"/>
      <c r="Q13" s="245"/>
      <c r="R13" s="245">
        <v>142</v>
      </c>
      <c r="S13" s="245">
        <v>4000</v>
      </c>
    </row>
    <row r="14" spans="1:19" ht="16.5" thickBot="1">
      <c r="A14" s="265"/>
      <c r="B14" s="265"/>
      <c r="C14" s="266" t="s">
        <v>159</v>
      </c>
      <c r="D14" s="267">
        <f>SUM(D10:D13)</f>
        <v>18.39</v>
      </c>
      <c r="E14" s="267">
        <f aca="true" t="shared" si="0" ref="E14:S14">SUM(E10:E13)</f>
        <v>438688.91400000005</v>
      </c>
      <c r="F14" s="267">
        <f t="shared" si="0"/>
        <v>94012.54450938918</v>
      </c>
      <c r="G14" s="267">
        <f t="shared" si="0"/>
        <v>131438</v>
      </c>
      <c r="H14" s="267">
        <f t="shared" si="0"/>
        <v>9536.97587960104</v>
      </c>
      <c r="I14" s="267">
        <f t="shared" si="0"/>
        <v>90</v>
      </c>
      <c r="J14" s="267">
        <f t="shared" si="0"/>
        <v>63</v>
      </c>
      <c r="K14" s="267">
        <f t="shared" si="0"/>
        <v>67456.97803418803</v>
      </c>
      <c r="L14" s="267">
        <f t="shared" si="0"/>
        <v>0</v>
      </c>
      <c r="M14" s="267">
        <f t="shared" si="0"/>
        <v>0</v>
      </c>
      <c r="N14" s="267">
        <f t="shared" si="0"/>
        <v>795</v>
      </c>
      <c r="O14" s="267">
        <f t="shared" si="0"/>
        <v>1010</v>
      </c>
      <c r="P14" s="267">
        <f t="shared" si="0"/>
        <v>0</v>
      </c>
      <c r="Q14" s="267">
        <f t="shared" si="0"/>
        <v>0</v>
      </c>
      <c r="R14" s="267">
        <f t="shared" si="0"/>
        <v>142</v>
      </c>
      <c r="S14" s="267">
        <f t="shared" si="0"/>
        <v>4000</v>
      </c>
    </row>
    <row r="15" spans="1:19" ht="16.5" thickBot="1">
      <c r="A15" s="533" t="s">
        <v>11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5"/>
    </row>
    <row r="16" spans="1:19" ht="47.25">
      <c r="A16" s="268">
        <v>1</v>
      </c>
      <c r="B16" s="269" t="s">
        <v>1</v>
      </c>
      <c r="C16" s="270" t="s">
        <v>160</v>
      </c>
      <c r="D16" s="271">
        <v>2.94</v>
      </c>
      <c r="E16" s="272">
        <v>551498.5</v>
      </c>
      <c r="F16" s="271">
        <f>E16/D16</f>
        <v>187584.52380952382</v>
      </c>
      <c r="G16" s="273">
        <f>56237+3470+2865+1820</f>
        <v>64392</v>
      </c>
      <c r="H16" s="274">
        <f>199543080/G16</f>
        <v>3098.8799850913156</v>
      </c>
      <c r="I16" s="273">
        <f>96+170</f>
        <v>266</v>
      </c>
      <c r="J16" s="273">
        <f>192-96</f>
        <v>96</v>
      </c>
      <c r="K16" s="273">
        <f>5666298/(I16+J16)</f>
        <v>15652.756906077348</v>
      </c>
      <c r="L16" s="273">
        <f>3930+(2520+120)</f>
        <v>6570</v>
      </c>
      <c r="M16" s="272">
        <f>45045915/L16</f>
        <v>6856.303652968037</v>
      </c>
      <c r="N16" s="273">
        <f>875+167+256+432+600</f>
        <v>2330</v>
      </c>
      <c r="O16" s="272">
        <f>8199133/N16</f>
        <v>3518.9412017167383</v>
      </c>
      <c r="P16" s="273">
        <v>0</v>
      </c>
      <c r="Q16" s="273">
        <v>0</v>
      </c>
      <c r="R16" s="275">
        <f>227.25/1.125</f>
        <v>202</v>
      </c>
      <c r="S16" s="276">
        <f>2267060/R16</f>
        <v>11223.069306930693</v>
      </c>
    </row>
    <row r="17" spans="1:19" ht="31.5">
      <c r="A17" s="277">
        <v>2</v>
      </c>
      <c r="B17" s="245" t="s">
        <v>161</v>
      </c>
      <c r="C17" s="261" t="s">
        <v>162</v>
      </c>
      <c r="D17" s="245">
        <v>2.47</v>
      </c>
      <c r="E17" s="245">
        <v>205004.78</v>
      </c>
      <c r="F17" s="245">
        <f>E17/D17</f>
        <v>82997.8866396761</v>
      </c>
      <c r="G17" s="245">
        <v>41144</v>
      </c>
      <c r="H17" s="245">
        <v>4443</v>
      </c>
      <c r="I17" s="245">
        <v>191</v>
      </c>
      <c r="J17" s="245">
        <v>191</v>
      </c>
      <c r="K17" s="245">
        <v>5714</v>
      </c>
      <c r="L17" s="245">
        <v>975</v>
      </c>
      <c r="M17" s="245">
        <v>7010</v>
      </c>
      <c r="N17" s="245"/>
      <c r="O17" s="245"/>
      <c r="P17" s="245"/>
      <c r="Q17" s="245"/>
      <c r="R17" s="245">
        <v>144</v>
      </c>
      <c r="S17" s="245">
        <v>3963</v>
      </c>
    </row>
    <row r="18" spans="1:19" ht="31.5">
      <c r="A18" s="245">
        <v>3</v>
      </c>
      <c r="B18" s="245" t="s">
        <v>163</v>
      </c>
      <c r="C18" s="261" t="s">
        <v>164</v>
      </c>
      <c r="D18" s="245">
        <v>1.4</v>
      </c>
      <c r="E18" s="278">
        <v>182000</v>
      </c>
      <c r="F18" s="245">
        <v>130000</v>
      </c>
      <c r="G18" s="245">
        <v>14935</v>
      </c>
      <c r="H18" s="245">
        <v>1768</v>
      </c>
      <c r="I18" s="245">
        <v>110</v>
      </c>
      <c r="J18" s="245">
        <v>43</v>
      </c>
      <c r="K18" s="245">
        <v>5500</v>
      </c>
      <c r="L18" s="245">
        <v>3630</v>
      </c>
      <c r="M18" s="245">
        <v>7290</v>
      </c>
      <c r="N18" s="245"/>
      <c r="O18" s="245"/>
      <c r="P18" s="245"/>
      <c r="Q18" s="245"/>
      <c r="R18" s="245"/>
      <c r="S18" s="279"/>
    </row>
    <row r="19" spans="1:19" ht="31.5">
      <c r="A19" s="245">
        <v>4</v>
      </c>
      <c r="B19" s="245" t="s">
        <v>165</v>
      </c>
      <c r="C19" s="261" t="s">
        <v>166</v>
      </c>
      <c r="D19" s="277">
        <v>3.5</v>
      </c>
      <c r="E19" s="277">
        <v>381799.68</v>
      </c>
      <c r="F19" s="277">
        <v>109085.6</v>
      </c>
      <c r="G19" s="280">
        <v>62611</v>
      </c>
      <c r="H19" s="280">
        <v>2342</v>
      </c>
      <c r="I19" s="277">
        <v>78</v>
      </c>
      <c r="J19" s="277">
        <v>308</v>
      </c>
      <c r="K19" s="277">
        <v>11249</v>
      </c>
      <c r="L19" s="277">
        <v>7600</v>
      </c>
      <c r="M19" s="277">
        <v>7290.23</v>
      </c>
      <c r="N19" s="277">
        <v>200</v>
      </c>
      <c r="O19" s="277">
        <v>363.2</v>
      </c>
      <c r="P19" s="277"/>
      <c r="Q19" s="277"/>
      <c r="R19" s="277"/>
      <c r="S19" s="279"/>
    </row>
    <row r="20" spans="1:19" ht="16.5" thickBot="1">
      <c r="A20" s="281"/>
      <c r="B20" s="265"/>
      <c r="C20" s="282" t="s">
        <v>159</v>
      </c>
      <c r="D20" s="283">
        <f>SUM(D16:D19)</f>
        <v>10.31</v>
      </c>
      <c r="E20" s="283">
        <f aca="true" t="shared" si="1" ref="E20:S20">SUM(E16:E19)</f>
        <v>1320302.96</v>
      </c>
      <c r="F20" s="283">
        <f t="shared" si="1"/>
        <v>509668.01044919994</v>
      </c>
      <c r="G20" s="283">
        <f t="shared" si="1"/>
        <v>183082</v>
      </c>
      <c r="H20" s="283">
        <f t="shared" si="1"/>
        <v>11651.879985091316</v>
      </c>
      <c r="I20" s="283">
        <f t="shared" si="1"/>
        <v>645</v>
      </c>
      <c r="J20" s="283">
        <f t="shared" si="1"/>
        <v>638</v>
      </c>
      <c r="K20" s="283">
        <f t="shared" si="1"/>
        <v>38115.756906077346</v>
      </c>
      <c r="L20" s="283">
        <f t="shared" si="1"/>
        <v>18775</v>
      </c>
      <c r="M20" s="283">
        <f t="shared" si="1"/>
        <v>28446.533652968035</v>
      </c>
      <c r="N20" s="283">
        <f t="shared" si="1"/>
        <v>2530</v>
      </c>
      <c r="O20" s="283">
        <f t="shared" si="1"/>
        <v>3882.141201716738</v>
      </c>
      <c r="P20" s="283">
        <f t="shared" si="1"/>
        <v>0</v>
      </c>
      <c r="Q20" s="283">
        <f t="shared" si="1"/>
        <v>0</v>
      </c>
      <c r="R20" s="283">
        <f t="shared" si="1"/>
        <v>346</v>
      </c>
      <c r="S20" s="283">
        <f t="shared" si="1"/>
        <v>15186.069306930693</v>
      </c>
    </row>
    <row r="21" spans="1:19" ht="16.5" thickBot="1">
      <c r="A21" s="533" t="s">
        <v>137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5"/>
    </row>
    <row r="22" spans="1:19" ht="31.5">
      <c r="A22" s="284">
        <v>1</v>
      </c>
      <c r="B22" s="536" t="s">
        <v>157</v>
      </c>
      <c r="C22" s="285" t="s">
        <v>167</v>
      </c>
      <c r="D22" s="286">
        <v>2.3</v>
      </c>
      <c r="E22" s="287">
        <v>69520</v>
      </c>
      <c r="F22" s="286">
        <v>30226</v>
      </c>
      <c r="G22" s="286">
        <v>45160</v>
      </c>
      <c r="H22" s="286">
        <v>1539</v>
      </c>
      <c r="I22" s="286"/>
      <c r="J22" s="286">
        <v>75</v>
      </c>
      <c r="K22" s="286"/>
      <c r="L22" s="286"/>
      <c r="M22" s="286"/>
      <c r="N22" s="286">
        <v>3600</v>
      </c>
      <c r="O22" s="286">
        <v>1010</v>
      </c>
      <c r="P22" s="286"/>
      <c r="Q22" s="286"/>
      <c r="R22" s="286">
        <v>1180</v>
      </c>
      <c r="S22" s="288">
        <v>3278</v>
      </c>
    </row>
    <row r="23" spans="1:19" ht="47.25">
      <c r="A23" s="289">
        <v>2</v>
      </c>
      <c r="B23" s="537"/>
      <c r="C23" s="290" t="s">
        <v>168</v>
      </c>
      <c r="D23" s="291">
        <v>4</v>
      </c>
      <c r="E23" s="292">
        <v>124170</v>
      </c>
      <c r="F23" s="291">
        <v>31042.5</v>
      </c>
      <c r="G23" s="291">
        <v>97420</v>
      </c>
      <c r="H23" s="291">
        <v>1274.58</v>
      </c>
      <c r="I23" s="291"/>
      <c r="J23" s="291">
        <v>298</v>
      </c>
      <c r="K23" s="291"/>
      <c r="L23" s="291"/>
      <c r="M23" s="291"/>
      <c r="N23" s="291">
        <v>2220</v>
      </c>
      <c r="O23" s="291">
        <v>1010</v>
      </c>
      <c r="P23" s="291"/>
      <c r="Q23" s="291"/>
      <c r="R23" s="291">
        <v>2040</v>
      </c>
      <c r="S23" s="293">
        <v>3278</v>
      </c>
    </row>
    <row r="24" spans="1:19" ht="31.5">
      <c r="A24" s="289">
        <v>3</v>
      </c>
      <c r="B24" s="537"/>
      <c r="C24" s="290" t="s">
        <v>169</v>
      </c>
      <c r="D24" s="291">
        <v>1.245</v>
      </c>
      <c r="E24" s="291">
        <v>18900.52</v>
      </c>
      <c r="F24" s="291">
        <v>15181.141</v>
      </c>
      <c r="G24" s="291">
        <v>10941</v>
      </c>
      <c r="H24" s="291">
        <v>1727.49</v>
      </c>
      <c r="I24" s="291">
        <v>20</v>
      </c>
      <c r="J24" s="291">
        <v>21</v>
      </c>
      <c r="K24" s="291">
        <v>5605.04</v>
      </c>
      <c r="L24" s="291"/>
      <c r="M24" s="291"/>
      <c r="N24" s="291">
        <v>424</v>
      </c>
      <c r="O24" s="291">
        <v>1010</v>
      </c>
      <c r="P24" s="291"/>
      <c r="Q24" s="291"/>
      <c r="R24" s="291"/>
      <c r="S24" s="293"/>
    </row>
    <row r="25" spans="1:19" ht="47.25">
      <c r="A25" s="289">
        <v>4</v>
      </c>
      <c r="B25" s="537"/>
      <c r="C25" s="290" t="s">
        <v>170</v>
      </c>
      <c r="D25" s="291">
        <v>1.4</v>
      </c>
      <c r="E25" s="292">
        <v>22530</v>
      </c>
      <c r="F25" s="291">
        <v>16092.857</v>
      </c>
      <c r="G25" s="291">
        <v>9859</v>
      </c>
      <c r="H25" s="291">
        <v>2285.22</v>
      </c>
      <c r="I25" s="291">
        <v>8</v>
      </c>
      <c r="J25" s="291"/>
      <c r="K25" s="291">
        <v>5605.04</v>
      </c>
      <c r="L25" s="291"/>
      <c r="M25" s="291"/>
      <c r="N25" s="291">
        <v>1390</v>
      </c>
      <c r="O25" s="291">
        <v>1010</v>
      </c>
      <c r="P25" s="291"/>
      <c r="Q25" s="291"/>
      <c r="R25" s="291"/>
      <c r="S25" s="293"/>
    </row>
    <row r="26" spans="1:19" ht="31.5">
      <c r="A26" s="289">
        <v>5</v>
      </c>
      <c r="B26" s="537"/>
      <c r="C26" s="290" t="s">
        <v>171</v>
      </c>
      <c r="D26" s="291">
        <v>3.287</v>
      </c>
      <c r="E26" s="291">
        <v>38427.2</v>
      </c>
      <c r="F26" s="291">
        <v>11690.66</v>
      </c>
      <c r="G26" s="291">
        <v>25074</v>
      </c>
      <c r="H26" s="291">
        <v>1533.55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3"/>
    </row>
    <row r="27" spans="1:19" ht="47.25">
      <c r="A27" s="294">
        <v>6</v>
      </c>
      <c r="B27" s="537"/>
      <c r="C27" s="290" t="s">
        <v>172</v>
      </c>
      <c r="D27" s="291">
        <v>0.8</v>
      </c>
      <c r="E27" s="292">
        <v>16370</v>
      </c>
      <c r="F27" s="291">
        <v>20462.5</v>
      </c>
      <c r="G27" s="291">
        <v>9912</v>
      </c>
      <c r="H27" s="291">
        <v>1651.53</v>
      </c>
      <c r="I27" s="291">
        <v>6</v>
      </c>
      <c r="J27" s="291">
        <v>53</v>
      </c>
      <c r="K27" s="291">
        <v>5605.04</v>
      </c>
      <c r="L27" s="291"/>
      <c r="M27" s="291"/>
      <c r="N27" s="291">
        <v>1435</v>
      </c>
      <c r="O27" s="291">
        <v>1010</v>
      </c>
      <c r="P27" s="291"/>
      <c r="Q27" s="291"/>
      <c r="R27" s="291"/>
      <c r="S27" s="293"/>
    </row>
    <row r="28" spans="1:19" ht="31.5">
      <c r="A28" s="294">
        <v>7</v>
      </c>
      <c r="B28" s="537"/>
      <c r="C28" s="290" t="s">
        <v>173</v>
      </c>
      <c r="D28" s="291">
        <v>3.8</v>
      </c>
      <c r="E28" s="291">
        <v>151685.2</v>
      </c>
      <c r="F28" s="291">
        <v>39917.158</v>
      </c>
      <c r="G28" s="291">
        <v>44012</v>
      </c>
      <c r="H28" s="291">
        <v>3446.45</v>
      </c>
      <c r="I28" s="291">
        <v>15</v>
      </c>
      <c r="J28" s="291"/>
      <c r="K28" s="291">
        <v>5605.04</v>
      </c>
      <c r="L28" s="291"/>
      <c r="M28" s="291"/>
      <c r="N28" s="291">
        <v>2000</v>
      </c>
      <c r="O28" s="291">
        <v>1010</v>
      </c>
      <c r="P28" s="291"/>
      <c r="Q28" s="291"/>
      <c r="R28" s="291">
        <v>1600</v>
      </c>
      <c r="S28" s="293">
        <v>3278</v>
      </c>
    </row>
    <row r="29" spans="1:19" ht="31.5">
      <c r="A29" s="294">
        <v>8</v>
      </c>
      <c r="B29" s="537"/>
      <c r="C29" s="290" t="s">
        <v>174</v>
      </c>
      <c r="D29" s="291">
        <v>4.2</v>
      </c>
      <c r="E29" s="291">
        <v>118462.9</v>
      </c>
      <c r="F29" s="291">
        <v>28205.452</v>
      </c>
      <c r="G29" s="291">
        <v>46600</v>
      </c>
      <c r="H29" s="291">
        <v>2542.12</v>
      </c>
      <c r="I29" s="291">
        <v>32</v>
      </c>
      <c r="J29" s="291"/>
      <c r="K29" s="291">
        <v>5605.04</v>
      </c>
      <c r="L29" s="291"/>
      <c r="M29" s="291"/>
      <c r="N29" s="291">
        <v>5500</v>
      </c>
      <c r="O29" s="291">
        <v>1010</v>
      </c>
      <c r="P29" s="291"/>
      <c r="Q29" s="291"/>
      <c r="R29" s="291"/>
      <c r="S29" s="293"/>
    </row>
    <row r="30" spans="1:19" ht="15.75">
      <c r="A30" s="294">
        <v>9</v>
      </c>
      <c r="B30" s="537"/>
      <c r="C30" s="295" t="s">
        <v>175</v>
      </c>
      <c r="D30" s="296">
        <v>3.07</v>
      </c>
      <c r="E30" s="278">
        <v>209600</v>
      </c>
      <c r="F30" s="245">
        <v>67612</v>
      </c>
      <c r="G30" s="245">
        <v>65038</v>
      </c>
      <c r="H30" s="245">
        <v>3220</v>
      </c>
      <c r="I30" s="245"/>
      <c r="J30" s="245">
        <v>303</v>
      </c>
      <c r="K30" s="245">
        <v>5605.04</v>
      </c>
      <c r="L30" s="245"/>
      <c r="M30" s="245"/>
      <c r="N30" s="245">
        <v>2956</v>
      </c>
      <c r="O30" s="245">
        <v>1200</v>
      </c>
      <c r="P30" s="245"/>
      <c r="Q30" s="245"/>
      <c r="R30" s="245">
        <v>1270</v>
      </c>
      <c r="S30" s="297">
        <v>3278</v>
      </c>
    </row>
    <row r="31" spans="1:19" ht="32.25" thickBot="1">
      <c r="A31" s="298"/>
      <c r="B31" s="538"/>
      <c r="C31" s="299" t="s">
        <v>176</v>
      </c>
      <c r="D31" s="300">
        <v>2</v>
      </c>
      <c r="E31" s="301">
        <v>99749</v>
      </c>
      <c r="F31" s="302">
        <v>64772</v>
      </c>
      <c r="G31" s="302">
        <v>40051</v>
      </c>
      <c r="H31" s="302">
        <v>2490</v>
      </c>
      <c r="I31" s="302"/>
      <c r="J31" s="302"/>
      <c r="K31" s="302"/>
      <c r="L31" s="302">
        <v>64</v>
      </c>
      <c r="M31" s="302">
        <v>8430</v>
      </c>
      <c r="N31" s="302">
        <v>2402</v>
      </c>
      <c r="O31" s="302">
        <v>1200</v>
      </c>
      <c r="P31" s="302"/>
      <c r="Q31" s="302"/>
      <c r="R31" s="302"/>
      <c r="S31" s="303"/>
    </row>
    <row r="32" spans="1:19" ht="31.5">
      <c r="A32" s="304">
        <v>1</v>
      </c>
      <c r="B32" s="536" t="s">
        <v>1</v>
      </c>
      <c r="C32" s="305" t="s">
        <v>177</v>
      </c>
      <c r="D32" s="306">
        <v>2.3</v>
      </c>
      <c r="E32" s="306">
        <v>106520</v>
      </c>
      <c r="F32" s="307">
        <f aca="true" t="shared" si="2" ref="F32:F49">E32/D32</f>
        <v>46313.04347826087</v>
      </c>
      <c r="G32" s="308">
        <v>30235</v>
      </c>
      <c r="H32" s="309">
        <f>38710323/G32</f>
        <v>1280.314966098892</v>
      </c>
      <c r="I32" s="308">
        <v>0</v>
      </c>
      <c r="J32" s="308">
        <v>100</v>
      </c>
      <c r="K32" s="310">
        <f>1201723/J32</f>
        <v>12017.23</v>
      </c>
      <c r="L32" s="308">
        <v>4361</v>
      </c>
      <c r="M32" s="306">
        <f>48619208/L32</f>
        <v>11148.637468470535</v>
      </c>
      <c r="N32" s="308">
        <v>0</v>
      </c>
      <c r="O32" s="308">
        <v>0</v>
      </c>
      <c r="P32" s="308">
        <v>0</v>
      </c>
      <c r="Q32" s="308">
        <v>0</v>
      </c>
      <c r="R32" s="311">
        <f>263.25/1.125</f>
        <v>234</v>
      </c>
      <c r="S32" s="312">
        <f>3097135/R32</f>
        <v>13235.619658119658</v>
      </c>
    </row>
    <row r="33" spans="1:19" ht="31.5">
      <c r="A33" s="294">
        <v>2</v>
      </c>
      <c r="B33" s="537"/>
      <c r="C33" s="246" t="s">
        <v>178</v>
      </c>
      <c r="D33" s="248">
        <v>2.6</v>
      </c>
      <c r="E33" s="248">
        <v>10710</v>
      </c>
      <c r="F33" s="249">
        <f t="shared" si="2"/>
        <v>4119.2307692307695</v>
      </c>
      <c r="G33" s="250">
        <v>13260</v>
      </c>
      <c r="H33" s="248">
        <f>(E33*1000/(5552454+405862+123871))*(64057+212999+3915641+889441)/G33</f>
        <v>674.889438491577</v>
      </c>
      <c r="I33" s="250">
        <v>10</v>
      </c>
      <c r="J33" s="250">
        <v>40</v>
      </c>
      <c r="K33" s="248">
        <f>(E33*1000/(5552454+405862+123871))*(405862)/(J33+I33)</f>
        <v>14293.483643301332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2">
        <v>0</v>
      </c>
      <c r="S33" s="313">
        <v>0</v>
      </c>
    </row>
    <row r="34" spans="1:19" ht="31.5">
      <c r="A34" s="314">
        <v>3</v>
      </c>
      <c r="B34" s="537"/>
      <c r="C34" s="246" t="s">
        <v>179</v>
      </c>
      <c r="D34" s="248">
        <v>2.8</v>
      </c>
      <c r="E34" s="248">
        <v>8967</v>
      </c>
      <c r="F34" s="249">
        <f t="shared" si="2"/>
        <v>3202.5</v>
      </c>
      <c r="G34" s="250">
        <v>11480</v>
      </c>
      <c r="H34" s="248">
        <f>(E34*1000/(4741805+318756+32334))*(55723+184406+3390012+770044)/G34</f>
        <v>674.8565936155102</v>
      </c>
      <c r="I34" s="250">
        <v>12</v>
      </c>
      <c r="J34" s="250">
        <v>24</v>
      </c>
      <c r="K34" s="248">
        <f>(E34*1000/(4741805+318756+32334))*(318756)/(J34+I34)</f>
        <v>15589.71999226373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2">
        <v>0</v>
      </c>
      <c r="S34" s="313">
        <v>0</v>
      </c>
    </row>
    <row r="35" spans="1:19" ht="47.25">
      <c r="A35" s="314">
        <v>4</v>
      </c>
      <c r="B35" s="537"/>
      <c r="C35" s="246" t="s">
        <v>180</v>
      </c>
      <c r="D35" s="248">
        <v>2</v>
      </c>
      <c r="E35" s="248">
        <v>10219</v>
      </c>
      <c r="F35" s="249">
        <f t="shared" si="2"/>
        <v>5109.5</v>
      </c>
      <c r="G35" s="250">
        <v>11000</v>
      </c>
      <c r="H35" s="251">
        <f>7386254/G35</f>
        <v>671.4776363636364</v>
      </c>
      <c r="I35" s="250">
        <v>0</v>
      </c>
      <c r="J35" s="250">
        <v>2</v>
      </c>
      <c r="K35" s="248">
        <f>33656/J35</f>
        <v>16828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2">
        <v>0</v>
      </c>
      <c r="S35" s="313">
        <v>0</v>
      </c>
    </row>
    <row r="36" spans="1:19" ht="31.5">
      <c r="A36" s="314">
        <v>5</v>
      </c>
      <c r="B36" s="537"/>
      <c r="C36" s="246" t="s">
        <v>181</v>
      </c>
      <c r="D36" s="248">
        <v>1</v>
      </c>
      <c r="E36" s="248">
        <v>47953</v>
      </c>
      <c r="F36" s="249">
        <f t="shared" si="2"/>
        <v>47953</v>
      </c>
      <c r="G36" s="250">
        <f>10975+510</f>
        <v>11485</v>
      </c>
      <c r="H36" s="251">
        <f>10160023/G36</f>
        <v>884.6341314758381</v>
      </c>
      <c r="I36" s="250">
        <v>94</v>
      </c>
      <c r="J36" s="250">
        <v>0</v>
      </c>
      <c r="K36" s="315">
        <f>3279918/I36</f>
        <v>34892.744680851065</v>
      </c>
      <c r="L36" s="250">
        <v>0</v>
      </c>
      <c r="M36" s="250">
        <v>0</v>
      </c>
      <c r="N36" s="250">
        <v>1560</v>
      </c>
      <c r="O36" s="316">
        <f>6287601/N36</f>
        <v>4030.5134615384613</v>
      </c>
      <c r="P36" s="250">
        <v>0</v>
      </c>
      <c r="Q36" s="250">
        <v>0</v>
      </c>
      <c r="R36" s="252">
        <v>0</v>
      </c>
      <c r="S36" s="313">
        <v>0</v>
      </c>
    </row>
    <row r="37" spans="1:19" ht="31.5">
      <c r="A37" s="314">
        <v>6</v>
      </c>
      <c r="B37" s="537"/>
      <c r="C37" s="246" t="s">
        <v>182</v>
      </c>
      <c r="D37" s="248">
        <v>1.6</v>
      </c>
      <c r="E37" s="248">
        <v>18956</v>
      </c>
      <c r="F37" s="249">
        <f t="shared" si="2"/>
        <v>11847.5</v>
      </c>
      <c r="G37" s="250">
        <f>9400</f>
        <v>9400</v>
      </c>
      <c r="H37" s="251">
        <f>8970946/G37</f>
        <v>954.3559574468085</v>
      </c>
      <c r="I37" s="250">
        <v>0</v>
      </c>
      <c r="J37" s="250">
        <v>7</v>
      </c>
      <c r="K37" s="248">
        <f>94539/J37</f>
        <v>13505.57142857143</v>
      </c>
      <c r="L37" s="250">
        <v>0</v>
      </c>
      <c r="M37" s="250">
        <v>0</v>
      </c>
      <c r="N37" s="250">
        <v>500</v>
      </c>
      <c r="O37" s="248">
        <f>2022166/N37</f>
        <v>4044.332</v>
      </c>
      <c r="P37" s="250">
        <v>0</v>
      </c>
      <c r="Q37" s="250">
        <v>0</v>
      </c>
      <c r="R37" s="252">
        <v>0</v>
      </c>
      <c r="S37" s="313">
        <v>0</v>
      </c>
    </row>
    <row r="38" spans="1:19" ht="31.5">
      <c r="A38" s="314">
        <v>7</v>
      </c>
      <c r="B38" s="537"/>
      <c r="C38" s="246" t="s">
        <v>183</v>
      </c>
      <c r="D38" s="248">
        <v>5.6</v>
      </c>
      <c r="E38" s="248">
        <v>168161</v>
      </c>
      <c r="F38" s="249">
        <f t="shared" si="2"/>
        <v>30028.750000000004</v>
      </c>
      <c r="G38" s="250">
        <f>56139+340</f>
        <v>56479</v>
      </c>
      <c r="H38" s="251">
        <f>50592374/G38</f>
        <v>895.7731900352343</v>
      </c>
      <c r="I38" s="250">
        <v>100</v>
      </c>
      <c r="J38" s="250">
        <v>0</v>
      </c>
      <c r="K38" s="250">
        <f>3408516/I38</f>
        <v>34085.16</v>
      </c>
      <c r="L38" s="250">
        <v>0</v>
      </c>
      <c r="M38" s="250">
        <v>0</v>
      </c>
      <c r="N38" s="250">
        <f>8700</f>
        <v>8700</v>
      </c>
      <c r="O38" s="248">
        <f>34588906/N38</f>
        <v>3975.7363218390806</v>
      </c>
      <c r="P38" s="250">
        <v>0</v>
      </c>
      <c r="Q38" s="250">
        <v>0</v>
      </c>
      <c r="R38" s="252">
        <v>0</v>
      </c>
      <c r="S38" s="313">
        <v>0</v>
      </c>
    </row>
    <row r="39" spans="1:19" ht="47.25">
      <c r="A39" s="314">
        <v>8</v>
      </c>
      <c r="B39" s="537"/>
      <c r="C39" s="246" t="s">
        <v>184</v>
      </c>
      <c r="D39" s="248">
        <v>0.9</v>
      </c>
      <c r="E39" s="248">
        <v>27758</v>
      </c>
      <c r="F39" s="249">
        <f t="shared" si="2"/>
        <v>30842.222222222223</v>
      </c>
      <c r="G39" s="250">
        <v>13267</v>
      </c>
      <c r="H39" s="251">
        <f>9476923/G39</f>
        <v>714.3229818346273</v>
      </c>
      <c r="I39" s="250">
        <v>25</v>
      </c>
      <c r="J39" s="250">
        <v>0</v>
      </c>
      <c r="K39" s="248">
        <f>505847/I39</f>
        <v>20233.88</v>
      </c>
      <c r="L39" s="250">
        <v>0</v>
      </c>
      <c r="M39" s="250">
        <v>0</v>
      </c>
      <c r="N39" s="250">
        <v>594</v>
      </c>
      <c r="O39" s="248">
        <f>2324645/N39</f>
        <v>3913.543771043771</v>
      </c>
      <c r="P39" s="250">
        <v>0</v>
      </c>
      <c r="Q39" s="250">
        <v>0</v>
      </c>
      <c r="R39" s="252">
        <f>184.5/1.125</f>
        <v>164</v>
      </c>
      <c r="S39" s="317">
        <f>1745036/R39</f>
        <v>10640.463414634147</v>
      </c>
    </row>
    <row r="40" spans="1:19" ht="31.5">
      <c r="A40" s="314">
        <v>9</v>
      </c>
      <c r="B40" s="537"/>
      <c r="C40" s="246" t="s">
        <v>185</v>
      </c>
      <c r="D40" s="248">
        <v>1.2</v>
      </c>
      <c r="E40" s="248">
        <v>42640</v>
      </c>
      <c r="F40" s="249">
        <f t="shared" si="2"/>
        <v>35533.333333333336</v>
      </c>
      <c r="G40" s="250">
        <v>10248</v>
      </c>
      <c r="H40" s="318">
        <f>21934848/G40</f>
        <v>2140.4028103044498</v>
      </c>
      <c r="I40" s="250">
        <v>32</v>
      </c>
      <c r="J40" s="250">
        <v>0</v>
      </c>
      <c r="K40" s="319">
        <f>662333/I40</f>
        <v>20697.90625</v>
      </c>
      <c r="L40" s="250">
        <v>0</v>
      </c>
      <c r="M40" s="250">
        <v>0</v>
      </c>
      <c r="N40" s="250">
        <v>2320</v>
      </c>
      <c r="O40" s="318">
        <f>9462757/N40</f>
        <v>4078.774568965517</v>
      </c>
      <c r="P40" s="250">
        <v>0</v>
      </c>
      <c r="Q40" s="250">
        <v>0</v>
      </c>
      <c r="R40" s="252">
        <v>0</v>
      </c>
      <c r="S40" s="313">
        <v>0</v>
      </c>
    </row>
    <row r="41" spans="1:19" ht="31.5">
      <c r="A41" s="314">
        <v>10</v>
      </c>
      <c r="B41" s="537"/>
      <c r="C41" s="246" t="s">
        <v>186</v>
      </c>
      <c r="D41" s="248">
        <v>1</v>
      </c>
      <c r="E41" s="248">
        <v>38549</v>
      </c>
      <c r="F41" s="249">
        <f t="shared" si="2"/>
        <v>38549</v>
      </c>
      <c r="G41" s="250">
        <v>8250</v>
      </c>
      <c r="H41" s="319">
        <f>17468416/G41</f>
        <v>2117.3837575757575</v>
      </c>
      <c r="I41" s="250">
        <v>4</v>
      </c>
      <c r="J41" s="250">
        <v>0</v>
      </c>
      <c r="K41" s="248">
        <f>141552/I41</f>
        <v>35388</v>
      </c>
      <c r="L41" s="250">
        <v>0</v>
      </c>
      <c r="M41" s="250">
        <v>0</v>
      </c>
      <c r="N41" s="250">
        <f>622*3</f>
        <v>1866</v>
      </c>
      <c r="O41" s="318">
        <f>6679688/N41</f>
        <v>3579.6827438370847</v>
      </c>
      <c r="P41" s="250">
        <v>0</v>
      </c>
      <c r="Q41" s="250">
        <v>0</v>
      </c>
      <c r="R41" s="252">
        <v>0</v>
      </c>
      <c r="S41" s="313">
        <v>0</v>
      </c>
    </row>
    <row r="42" spans="1:19" ht="31.5">
      <c r="A42" s="314">
        <v>11</v>
      </c>
      <c r="B42" s="537"/>
      <c r="C42" s="246" t="s">
        <v>187</v>
      </c>
      <c r="D42" s="248">
        <v>2.4</v>
      </c>
      <c r="E42" s="248">
        <v>124995</v>
      </c>
      <c r="F42" s="249">
        <f t="shared" si="2"/>
        <v>52081.25</v>
      </c>
      <c r="G42" s="250">
        <f>27347</f>
        <v>27347</v>
      </c>
      <c r="H42" s="320">
        <f>(E42*1000/(65121550+205835))*(495944+384371+7673901+533921+413744+6335184+4177774+356243+276059+8484549+1940406)/G42</f>
        <v>2173.9934244618294</v>
      </c>
      <c r="I42" s="321">
        <f>6+109</f>
        <v>115</v>
      </c>
      <c r="J42" s="250">
        <v>0</v>
      </c>
      <c r="K42" s="320">
        <f>(E42*1000/(65121550+205835))*(2009064+1838+32940+30454)/(J42+I42)</f>
        <v>34512.010214931805</v>
      </c>
      <c r="L42" s="250">
        <v>0</v>
      </c>
      <c r="M42" s="250">
        <v>0</v>
      </c>
      <c r="N42" s="250">
        <f>1560*3+12</f>
        <v>4692</v>
      </c>
      <c r="O42" s="320">
        <f>(E42*1000/(65121550+205835))*(9969176+4571+2961)/N42</f>
        <v>4068.4279078180216</v>
      </c>
      <c r="P42" s="250">
        <v>0</v>
      </c>
      <c r="Q42" s="250">
        <v>0</v>
      </c>
      <c r="R42" s="252">
        <v>0</v>
      </c>
      <c r="S42" s="313">
        <v>0</v>
      </c>
    </row>
    <row r="43" spans="1:19" ht="31.5">
      <c r="A43" s="314">
        <v>12</v>
      </c>
      <c r="B43" s="537"/>
      <c r="C43" s="246" t="s">
        <v>188</v>
      </c>
      <c r="D43" s="248">
        <v>1.6</v>
      </c>
      <c r="E43" s="248">
        <v>60740</v>
      </c>
      <c r="F43" s="249">
        <f t="shared" si="2"/>
        <v>37962.5</v>
      </c>
      <c r="G43" s="250">
        <v>15500</v>
      </c>
      <c r="H43" s="318">
        <f>31807083/G43</f>
        <v>2052.0698709677417</v>
      </c>
      <c r="I43" s="250">
        <v>10</v>
      </c>
      <c r="J43" s="250">
        <v>0</v>
      </c>
      <c r="K43" s="248">
        <f>345712/I43</f>
        <v>34571.2</v>
      </c>
      <c r="L43" s="250">
        <v>0</v>
      </c>
      <c r="M43" s="250">
        <v>0</v>
      </c>
      <c r="N43" s="250">
        <v>2500</v>
      </c>
      <c r="O43" s="320">
        <f>(E43*1000/(32011631+59736+182592))*(5470157)/N43</f>
        <v>4120.515390746295</v>
      </c>
      <c r="P43" s="250">
        <v>0</v>
      </c>
      <c r="Q43" s="250">
        <v>0</v>
      </c>
      <c r="R43" s="252">
        <v>0</v>
      </c>
      <c r="S43" s="313">
        <v>0</v>
      </c>
    </row>
    <row r="44" spans="1:19" ht="31.5">
      <c r="A44" s="314">
        <v>13</v>
      </c>
      <c r="B44" s="537"/>
      <c r="C44" s="246" t="s">
        <v>189</v>
      </c>
      <c r="D44" s="248">
        <v>1.3</v>
      </c>
      <c r="E44" s="248">
        <v>25717</v>
      </c>
      <c r="F44" s="249">
        <f t="shared" si="2"/>
        <v>19782.30769230769</v>
      </c>
      <c r="G44" s="250">
        <v>8190</v>
      </c>
      <c r="H44" s="319">
        <f>12289317/G44</f>
        <v>1500.5271062271063</v>
      </c>
      <c r="I44" s="250">
        <v>12</v>
      </c>
      <c r="J44" s="250">
        <v>0</v>
      </c>
      <c r="K44" s="248">
        <f>412463/I44</f>
        <v>34371.916666666664</v>
      </c>
      <c r="L44" s="250">
        <v>0</v>
      </c>
      <c r="M44" s="250">
        <v>0</v>
      </c>
      <c r="N44" s="250">
        <v>2150</v>
      </c>
      <c r="O44" s="320">
        <f>(E44*1000/(13364353+71586+219111))*(3479950)/N44</f>
        <v>3048.3270104603093</v>
      </c>
      <c r="P44" s="250">
        <v>0</v>
      </c>
      <c r="Q44" s="250">
        <v>0</v>
      </c>
      <c r="R44" s="252">
        <v>0</v>
      </c>
      <c r="S44" s="313">
        <v>0</v>
      </c>
    </row>
    <row r="45" spans="1:19" ht="47.25">
      <c r="A45" s="314">
        <v>14</v>
      </c>
      <c r="B45" s="537"/>
      <c r="C45" s="246" t="s">
        <v>190</v>
      </c>
      <c r="D45" s="248">
        <v>1.3</v>
      </c>
      <c r="E45" s="248">
        <v>49138</v>
      </c>
      <c r="F45" s="249">
        <f t="shared" si="2"/>
        <v>37798.46153846154</v>
      </c>
      <c r="G45" s="250">
        <v>12350</v>
      </c>
      <c r="H45" s="318">
        <f>18802013/G45</f>
        <v>1522.4302024291499</v>
      </c>
      <c r="I45" s="250">
        <v>50</v>
      </c>
      <c r="J45" s="250">
        <v>0</v>
      </c>
      <c r="K45" s="248">
        <f>1041445/I45</f>
        <v>20828.9</v>
      </c>
      <c r="L45" s="250">
        <v>0</v>
      </c>
      <c r="M45" s="250">
        <v>0</v>
      </c>
      <c r="N45" s="250">
        <v>2150</v>
      </c>
      <c r="O45" s="316">
        <f>8522712/N45</f>
        <v>3964.052093023256</v>
      </c>
      <c r="P45" s="250">
        <v>0</v>
      </c>
      <c r="Q45" s="250">
        <v>0</v>
      </c>
      <c r="R45" s="252">
        <f>1125/1.125</f>
        <v>1000</v>
      </c>
      <c r="S45" s="317">
        <f>9683967/R45</f>
        <v>9683.967</v>
      </c>
    </row>
    <row r="46" spans="1:19" ht="31.5">
      <c r="A46" s="314">
        <v>15</v>
      </c>
      <c r="B46" s="537"/>
      <c r="C46" s="254" t="s">
        <v>191</v>
      </c>
      <c r="D46" s="255">
        <v>0.36</v>
      </c>
      <c r="E46" s="256">
        <v>25609</v>
      </c>
      <c r="F46" s="257">
        <f t="shared" si="2"/>
        <v>71136.11111111111</v>
      </c>
      <c r="G46" s="258">
        <f>6077+34.3+108</f>
        <v>6219.3</v>
      </c>
      <c r="H46" s="319">
        <f>7355548/G46</f>
        <v>1182.697088096731</v>
      </c>
      <c r="I46" s="258">
        <f>1+8</f>
        <v>9</v>
      </c>
      <c r="J46" s="258">
        <v>0</v>
      </c>
      <c r="K46" s="319">
        <f>208233/I46</f>
        <v>23137</v>
      </c>
      <c r="L46" s="258">
        <v>0</v>
      </c>
      <c r="M46" s="258">
        <v>0</v>
      </c>
      <c r="N46" s="258">
        <f>350+23+34+16</f>
        <v>423</v>
      </c>
      <c r="O46" s="256">
        <f>1727956/N46</f>
        <v>4085.002364066194</v>
      </c>
      <c r="P46" s="258">
        <v>0</v>
      </c>
      <c r="Q46" s="258">
        <v>0</v>
      </c>
      <c r="R46" s="260">
        <f>(250.875+14.625)/1.125</f>
        <v>236</v>
      </c>
      <c r="S46" s="322">
        <f>3141509/R46</f>
        <v>13311.478813559323</v>
      </c>
    </row>
    <row r="47" spans="1:19" ht="15.75">
      <c r="A47" s="314">
        <v>16</v>
      </c>
      <c r="B47" s="537"/>
      <c r="C47" s="246" t="s">
        <v>192</v>
      </c>
      <c r="D47" s="247">
        <v>0.73</v>
      </c>
      <c r="E47" s="248">
        <v>2691.5</v>
      </c>
      <c r="F47" s="249">
        <f t="shared" si="2"/>
        <v>3686.986301369863</v>
      </c>
      <c r="G47" s="250">
        <v>3165</v>
      </c>
      <c r="H47" s="320">
        <f>(E47*1000/(1534039))*(21789+965189+219958)/G47</f>
        <v>669.0653060227164</v>
      </c>
      <c r="I47" s="250">
        <v>0</v>
      </c>
      <c r="J47" s="250">
        <v>0</v>
      </c>
      <c r="K47" s="250">
        <v>0</v>
      </c>
      <c r="L47" s="250">
        <v>0</v>
      </c>
      <c r="M47" s="250">
        <v>0</v>
      </c>
      <c r="N47" s="250">
        <v>0</v>
      </c>
      <c r="O47" s="250">
        <v>0</v>
      </c>
      <c r="P47" s="250">
        <v>0</v>
      </c>
      <c r="Q47" s="250">
        <v>0</v>
      </c>
      <c r="R47" s="252">
        <v>0</v>
      </c>
      <c r="S47" s="313">
        <v>0</v>
      </c>
    </row>
    <row r="48" spans="1:19" ht="31.5">
      <c r="A48" s="314">
        <v>17</v>
      </c>
      <c r="B48" s="537"/>
      <c r="C48" s="246" t="s">
        <v>193</v>
      </c>
      <c r="D48" s="247">
        <v>0.65</v>
      </c>
      <c r="E48" s="248">
        <v>20815.8</v>
      </c>
      <c r="F48" s="249">
        <f t="shared" si="2"/>
        <v>32024.30769230769</v>
      </c>
      <c r="G48" s="250">
        <v>4348</v>
      </c>
      <c r="H48" s="320">
        <f>(E48*1000/(10551732))*(81049+62211+1250820+52028+39935+1502831+701952)/G48</f>
        <v>1674.5703227672536</v>
      </c>
      <c r="I48" s="250">
        <v>8</v>
      </c>
      <c r="J48" s="321">
        <v>0</v>
      </c>
      <c r="K48" s="320">
        <f>(E48*1000/(10551732))*(207653)/(J48+I48)</f>
        <v>51205.61389116024</v>
      </c>
      <c r="L48" s="250">
        <v>0</v>
      </c>
      <c r="M48" s="250">
        <v>0</v>
      </c>
      <c r="N48" s="250">
        <f>1478</f>
        <v>1478</v>
      </c>
      <c r="O48" s="320">
        <f>(E48*1000/(10551732))*(2461672)/(N48)</f>
        <v>3285.6788039154085</v>
      </c>
      <c r="P48" s="250">
        <v>0</v>
      </c>
      <c r="Q48" s="250">
        <v>0</v>
      </c>
      <c r="R48" s="252">
        <v>0</v>
      </c>
      <c r="S48" s="313">
        <v>0</v>
      </c>
    </row>
    <row r="49" spans="1:19" ht="15.75">
      <c r="A49" s="314">
        <v>18</v>
      </c>
      <c r="B49" s="537"/>
      <c r="C49" s="246" t="s">
        <v>194</v>
      </c>
      <c r="D49" s="247">
        <v>2.53</v>
      </c>
      <c r="E49" s="248">
        <v>36734</v>
      </c>
      <c r="F49" s="249">
        <f t="shared" si="2"/>
        <v>14519.367588932808</v>
      </c>
      <c r="G49" s="250">
        <f>13065+2037</f>
        <v>15102</v>
      </c>
      <c r="H49" s="320">
        <f>(E49*1000/(19925101))*(273618+210022+4222728+156353+120013+4515753+2109245+616217+982566+704063+328858)/G49</f>
        <v>1738.3051314090749</v>
      </c>
      <c r="I49" s="321">
        <v>105</v>
      </c>
      <c r="J49" s="250">
        <v>0</v>
      </c>
      <c r="K49" s="320">
        <f>(E49*1000/(19925101))*(3126584)/(J49+I49)</f>
        <v>54896.98487111212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2">
        <v>0</v>
      </c>
      <c r="S49" s="313">
        <v>0</v>
      </c>
    </row>
    <row r="50" spans="1:19" ht="16.5" thickBot="1">
      <c r="A50" s="169">
        <v>19</v>
      </c>
      <c r="B50" s="538"/>
      <c r="C50" s="323" t="s">
        <v>195</v>
      </c>
      <c r="D50" s="324">
        <v>4.6</v>
      </c>
      <c r="E50" s="325"/>
      <c r="F50" s="325"/>
      <c r="G50" s="325">
        <v>37405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</row>
    <row r="51" spans="1:19" ht="47.25">
      <c r="A51" s="164">
        <v>1</v>
      </c>
      <c r="B51" s="536" t="s">
        <v>73</v>
      </c>
      <c r="C51" s="327" t="s">
        <v>196</v>
      </c>
      <c r="D51" s="328">
        <v>1.6</v>
      </c>
      <c r="E51" s="328">
        <v>28299.57</v>
      </c>
      <c r="F51" s="328">
        <f aca="true" t="shared" si="3" ref="F51:F56">E51/D51</f>
        <v>17687.231249999997</v>
      </c>
      <c r="G51" s="328">
        <v>16065</v>
      </c>
      <c r="H51" s="328">
        <v>1762</v>
      </c>
      <c r="I51" s="328"/>
      <c r="J51" s="328">
        <v>41</v>
      </c>
      <c r="K51" s="328"/>
      <c r="L51" s="328"/>
      <c r="M51" s="328"/>
      <c r="N51" s="328"/>
      <c r="O51" s="328"/>
      <c r="P51" s="328">
        <f>3000-648</f>
        <v>2352</v>
      </c>
      <c r="Q51" s="329">
        <v>371</v>
      </c>
      <c r="R51" s="328"/>
      <c r="S51" s="330"/>
    </row>
    <row r="52" spans="1:19" ht="15.75">
      <c r="A52" s="314">
        <v>2</v>
      </c>
      <c r="B52" s="537"/>
      <c r="C52" s="261" t="s">
        <v>197</v>
      </c>
      <c r="D52" s="245">
        <v>5.4</v>
      </c>
      <c r="E52" s="278">
        <v>83255</v>
      </c>
      <c r="F52" s="245">
        <f t="shared" si="3"/>
        <v>15417.592592592591</v>
      </c>
      <c r="G52" s="245">
        <f>86207.2+10332.4</f>
        <v>96539.59999999999</v>
      </c>
      <c r="H52" s="245">
        <v>862</v>
      </c>
      <c r="I52" s="245">
        <v>4</v>
      </c>
      <c r="J52" s="245">
        <v>136</v>
      </c>
      <c r="K52" s="245">
        <v>5714</v>
      </c>
      <c r="L52" s="245"/>
      <c r="M52" s="245"/>
      <c r="N52" s="245"/>
      <c r="O52" s="245"/>
      <c r="P52" s="245"/>
      <c r="Q52" s="245"/>
      <c r="R52" s="245"/>
      <c r="S52" s="331"/>
    </row>
    <row r="53" spans="1:19" ht="15.75">
      <c r="A53" s="314">
        <v>3</v>
      </c>
      <c r="B53" s="537"/>
      <c r="C53" s="261" t="s">
        <v>198</v>
      </c>
      <c r="D53" s="245">
        <v>6.9</v>
      </c>
      <c r="E53" s="245">
        <v>49065.71</v>
      </c>
      <c r="F53" s="245">
        <f t="shared" si="3"/>
        <v>7110.972463768116</v>
      </c>
      <c r="G53" s="245">
        <v>33106</v>
      </c>
      <c r="H53" s="245">
        <v>1482</v>
      </c>
      <c r="I53" s="245">
        <v>20</v>
      </c>
      <c r="J53" s="245">
        <v>57</v>
      </c>
      <c r="K53" s="245">
        <v>5714</v>
      </c>
      <c r="L53" s="245"/>
      <c r="M53" s="245"/>
      <c r="N53" s="245"/>
      <c r="O53" s="245"/>
      <c r="P53" s="245"/>
      <c r="Q53" s="245"/>
      <c r="R53" s="245"/>
      <c r="S53" s="331"/>
    </row>
    <row r="54" spans="1:19" ht="15.75">
      <c r="A54" s="314">
        <v>4</v>
      </c>
      <c r="B54" s="537"/>
      <c r="C54" s="261" t="s">
        <v>199</v>
      </c>
      <c r="D54" s="245">
        <v>0.73</v>
      </c>
      <c r="E54" s="245">
        <v>9183.98</v>
      </c>
      <c r="F54" s="245">
        <f t="shared" si="3"/>
        <v>12580.794520547945</v>
      </c>
      <c r="G54" s="245">
        <v>5400</v>
      </c>
      <c r="H54" s="245">
        <v>1700</v>
      </c>
      <c r="I54" s="245">
        <v>3</v>
      </c>
      <c r="J54" s="245">
        <v>2</v>
      </c>
      <c r="K54" s="245">
        <v>5714</v>
      </c>
      <c r="L54" s="245"/>
      <c r="M54" s="245"/>
      <c r="N54" s="245">
        <v>505</v>
      </c>
      <c r="O54" s="245">
        <v>2147</v>
      </c>
      <c r="P54" s="245"/>
      <c r="Q54" s="245"/>
      <c r="R54" s="245"/>
      <c r="S54" s="331"/>
    </row>
    <row r="55" spans="1:19" ht="15.75">
      <c r="A55" s="314">
        <v>5</v>
      </c>
      <c r="B55" s="537"/>
      <c r="C55" s="261" t="s">
        <v>200</v>
      </c>
      <c r="D55" s="245">
        <v>10.79</v>
      </c>
      <c r="E55" s="278">
        <v>66000</v>
      </c>
      <c r="F55" s="245">
        <f t="shared" si="3"/>
        <v>6116.774791473587</v>
      </c>
      <c r="G55" s="245">
        <v>58927</v>
      </c>
      <c r="H55" s="245">
        <v>1120</v>
      </c>
      <c r="I55" s="245">
        <f>4</f>
        <v>4</v>
      </c>
      <c r="J55" s="245">
        <v>2</v>
      </c>
      <c r="K55" s="245">
        <v>5714</v>
      </c>
      <c r="L55" s="245"/>
      <c r="M55" s="245"/>
      <c r="N55" s="245"/>
      <c r="O55" s="245"/>
      <c r="P55" s="245"/>
      <c r="Q55" s="245"/>
      <c r="R55" s="245"/>
      <c r="S55" s="331"/>
    </row>
    <row r="56" spans="1:19" ht="31.5">
      <c r="A56" s="314">
        <v>6</v>
      </c>
      <c r="B56" s="537"/>
      <c r="C56" s="261" t="s">
        <v>201</v>
      </c>
      <c r="D56" s="245">
        <v>3.28</v>
      </c>
      <c r="E56" s="278">
        <v>79300</v>
      </c>
      <c r="F56" s="245">
        <f t="shared" si="3"/>
        <v>24176.829268292684</v>
      </c>
      <c r="G56" s="245">
        <f>42190+5820</f>
        <v>48010</v>
      </c>
      <c r="H56" s="245">
        <v>1651</v>
      </c>
      <c r="I56" s="245">
        <v>23</v>
      </c>
      <c r="J56" s="245"/>
      <c r="K56" s="245">
        <v>5714</v>
      </c>
      <c r="L56" s="245"/>
      <c r="M56" s="245"/>
      <c r="N56" s="245">
        <f>2769+541</f>
        <v>3310</v>
      </c>
      <c r="O56" s="245">
        <v>2147</v>
      </c>
      <c r="P56" s="245"/>
      <c r="Q56" s="245"/>
      <c r="R56" s="245">
        <f>(1059+141)/1.5</f>
        <v>800</v>
      </c>
      <c r="S56" s="331">
        <v>3963</v>
      </c>
    </row>
    <row r="57" spans="1:19" ht="31.5">
      <c r="A57" s="314">
        <v>7</v>
      </c>
      <c r="B57" s="537"/>
      <c r="C57" s="261" t="s">
        <v>202</v>
      </c>
      <c r="D57" s="245">
        <v>3.38</v>
      </c>
      <c r="E57" s="278">
        <v>157000</v>
      </c>
      <c r="F57" s="245">
        <f>E57/D57</f>
        <v>46449.70414201183</v>
      </c>
      <c r="G57" s="245">
        <f>47600</f>
        <v>47600</v>
      </c>
      <c r="H57" s="245">
        <v>3298</v>
      </c>
      <c r="I57" s="245">
        <v>6</v>
      </c>
      <c r="J57" s="245"/>
      <c r="K57" s="245">
        <v>5714</v>
      </c>
      <c r="L57" s="245"/>
      <c r="M57" s="245"/>
      <c r="N57" s="245">
        <v>6900</v>
      </c>
      <c r="O57" s="245">
        <v>2147</v>
      </c>
      <c r="P57" s="245"/>
      <c r="Q57" s="245"/>
      <c r="R57" s="245">
        <v>1638</v>
      </c>
      <c r="S57" s="331">
        <v>3963</v>
      </c>
    </row>
    <row r="58" spans="1:19" ht="15.75">
      <c r="A58" s="314">
        <v>8</v>
      </c>
      <c r="B58" s="537"/>
      <c r="C58" s="261" t="s">
        <v>203</v>
      </c>
      <c r="D58" s="245">
        <v>1.2</v>
      </c>
      <c r="E58" s="278">
        <v>24000</v>
      </c>
      <c r="F58" s="245">
        <f>E58/D58</f>
        <v>20000</v>
      </c>
      <c r="G58" s="245">
        <v>7076</v>
      </c>
      <c r="H58" s="245">
        <v>3392</v>
      </c>
      <c r="I58" s="245">
        <v>9</v>
      </c>
      <c r="J58" s="245"/>
      <c r="K58" s="245">
        <v>5714</v>
      </c>
      <c r="L58" s="245"/>
      <c r="M58" s="245"/>
      <c r="N58" s="245"/>
      <c r="O58" s="245"/>
      <c r="P58" s="245"/>
      <c r="Q58" s="245"/>
      <c r="R58" s="245"/>
      <c r="S58" s="331"/>
    </row>
    <row r="59" spans="1:19" ht="31.5">
      <c r="A59" s="314">
        <v>9</v>
      </c>
      <c r="B59" s="537"/>
      <c r="C59" s="261" t="s">
        <v>204</v>
      </c>
      <c r="D59" s="245">
        <v>0.285</v>
      </c>
      <c r="E59" s="278">
        <v>9416</v>
      </c>
      <c r="F59" s="245">
        <f>E59/D59</f>
        <v>33038.596491228076</v>
      </c>
      <c r="G59" s="245">
        <f>5386-536</f>
        <v>4850</v>
      </c>
      <c r="H59" s="245">
        <v>1941</v>
      </c>
      <c r="I59" s="245">
        <v>30</v>
      </c>
      <c r="J59" s="245"/>
      <c r="K59" s="245">
        <v>5714</v>
      </c>
      <c r="L59" s="245"/>
      <c r="M59" s="245"/>
      <c r="N59" s="245"/>
      <c r="O59" s="245"/>
      <c r="P59" s="245"/>
      <c r="Q59" s="245"/>
      <c r="R59" s="245"/>
      <c r="S59" s="331"/>
    </row>
    <row r="60" spans="1:19" ht="31.5">
      <c r="A60" s="191">
        <v>10</v>
      </c>
      <c r="B60" s="537"/>
      <c r="C60" s="332" t="s">
        <v>205</v>
      </c>
      <c r="D60" s="333">
        <v>1.6</v>
      </c>
      <c r="E60" s="278"/>
      <c r="F60" s="245"/>
      <c r="G60" s="245">
        <v>25200</v>
      </c>
      <c r="H60" s="245"/>
      <c r="I60" s="245">
        <v>5</v>
      </c>
      <c r="J60" s="245">
        <v>25</v>
      </c>
      <c r="K60" s="245"/>
      <c r="L60" s="245">
        <v>227</v>
      </c>
      <c r="M60" s="245"/>
      <c r="N60" s="245">
        <v>240</v>
      </c>
      <c r="O60" s="245"/>
      <c r="P60" s="245"/>
      <c r="Q60" s="245"/>
      <c r="R60" s="245"/>
      <c r="S60" s="331"/>
    </row>
    <row r="61" spans="1:19" ht="31.5">
      <c r="A61" s="191">
        <v>11</v>
      </c>
      <c r="B61" s="537"/>
      <c r="C61" s="332" t="s">
        <v>206</v>
      </c>
      <c r="D61" s="333">
        <v>2.7</v>
      </c>
      <c r="E61" s="278"/>
      <c r="F61" s="245"/>
      <c r="G61" s="245">
        <v>26718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331"/>
    </row>
    <row r="62" spans="1:19" ht="32.25" thickBot="1">
      <c r="A62" s="334">
        <v>12</v>
      </c>
      <c r="B62" s="538"/>
      <c r="C62" s="323" t="s">
        <v>207</v>
      </c>
      <c r="D62" s="335">
        <v>0.4</v>
      </c>
      <c r="E62" s="301"/>
      <c r="F62" s="302"/>
      <c r="G62" s="302">
        <v>4252</v>
      </c>
      <c r="H62" s="302"/>
      <c r="I62" s="302">
        <v>4</v>
      </c>
      <c r="J62" s="302">
        <v>24</v>
      </c>
      <c r="K62" s="302"/>
      <c r="L62" s="302"/>
      <c r="M62" s="302"/>
      <c r="N62" s="302"/>
      <c r="O62" s="302"/>
      <c r="P62" s="302">
        <v>508</v>
      </c>
      <c r="Q62" s="302"/>
      <c r="R62" s="302"/>
      <c r="S62" s="336"/>
    </row>
    <row r="63" spans="1:19" ht="15.75">
      <c r="A63" s="337">
        <v>1</v>
      </c>
      <c r="B63" s="536" t="s">
        <v>163</v>
      </c>
      <c r="C63" s="338" t="s">
        <v>208</v>
      </c>
      <c r="D63" s="339">
        <v>1</v>
      </c>
      <c r="E63" s="340">
        <v>8800</v>
      </c>
      <c r="F63" s="341">
        <v>8800</v>
      </c>
      <c r="G63" s="341">
        <v>2970</v>
      </c>
      <c r="H63" s="341">
        <v>1306</v>
      </c>
      <c r="I63" s="341">
        <v>11</v>
      </c>
      <c r="J63" s="341" t="s">
        <v>102</v>
      </c>
      <c r="K63" s="341">
        <v>5500</v>
      </c>
      <c r="L63" s="341"/>
      <c r="M63" s="341"/>
      <c r="N63" s="341"/>
      <c r="O63" s="341"/>
      <c r="P63" s="341"/>
      <c r="Q63" s="341"/>
      <c r="R63" s="341"/>
      <c r="S63" s="341"/>
    </row>
    <row r="64" spans="1:19" ht="15.75">
      <c r="A64" s="342">
        <v>2</v>
      </c>
      <c r="B64" s="537"/>
      <c r="C64" s="295" t="s">
        <v>209</v>
      </c>
      <c r="D64" s="343">
        <v>2.5</v>
      </c>
      <c r="E64" s="344">
        <v>18300</v>
      </c>
      <c r="F64" s="262">
        <v>7787</v>
      </c>
      <c r="G64" s="262">
        <v>17350</v>
      </c>
      <c r="H64" s="262">
        <v>853</v>
      </c>
      <c r="I64" s="262">
        <v>6</v>
      </c>
      <c r="J64" s="262">
        <v>6</v>
      </c>
      <c r="K64" s="262">
        <v>5500</v>
      </c>
      <c r="L64" s="262"/>
      <c r="M64" s="262"/>
      <c r="N64" s="262"/>
      <c r="O64" s="262"/>
      <c r="P64" s="262"/>
      <c r="Q64" s="262"/>
      <c r="R64" s="262"/>
      <c r="S64" s="262"/>
    </row>
    <row r="65" spans="1:19" ht="31.5">
      <c r="A65" s="342">
        <v>3</v>
      </c>
      <c r="B65" s="537"/>
      <c r="C65" s="295" t="s">
        <v>210</v>
      </c>
      <c r="D65" s="345">
        <v>4</v>
      </c>
      <c r="E65" s="344">
        <v>36500</v>
      </c>
      <c r="F65" s="262">
        <v>9102</v>
      </c>
      <c r="G65" s="262">
        <v>15600</v>
      </c>
      <c r="H65" s="262">
        <v>1214</v>
      </c>
      <c r="I65" s="262">
        <v>3</v>
      </c>
      <c r="J65" s="262">
        <v>22</v>
      </c>
      <c r="K65" s="262">
        <v>5500</v>
      </c>
      <c r="L65" s="262"/>
      <c r="M65" s="262"/>
      <c r="N65" s="262"/>
      <c r="O65" s="262"/>
      <c r="P65" s="262"/>
      <c r="Q65" s="262"/>
      <c r="R65" s="262"/>
      <c r="S65" s="262"/>
    </row>
    <row r="66" spans="1:19" ht="15.75">
      <c r="A66" s="342">
        <v>4</v>
      </c>
      <c r="B66" s="537"/>
      <c r="C66" s="295" t="s">
        <v>211</v>
      </c>
      <c r="D66" s="296">
        <v>0.2</v>
      </c>
      <c r="E66" s="344">
        <v>3950</v>
      </c>
      <c r="F66" s="262">
        <v>19750</v>
      </c>
      <c r="G66" s="262">
        <v>3100</v>
      </c>
      <c r="H66" s="262">
        <v>819</v>
      </c>
      <c r="I66" s="262">
        <v>10</v>
      </c>
      <c r="J66" s="262">
        <v>19</v>
      </c>
      <c r="K66" s="262">
        <v>5500</v>
      </c>
      <c r="L66" s="262"/>
      <c r="M66" s="262"/>
      <c r="N66" s="262"/>
      <c r="O66" s="262"/>
      <c r="P66" s="262"/>
      <c r="Q66" s="262"/>
      <c r="R66" s="262"/>
      <c r="S66" s="262"/>
    </row>
    <row r="67" spans="1:19" ht="31.5">
      <c r="A67" s="342">
        <v>5</v>
      </c>
      <c r="B67" s="537"/>
      <c r="C67" s="295" t="s">
        <v>212</v>
      </c>
      <c r="D67" s="345">
        <v>0.9</v>
      </c>
      <c r="E67" s="344">
        <v>42000</v>
      </c>
      <c r="F67" s="262">
        <v>48837</v>
      </c>
      <c r="G67" s="262">
        <v>12686</v>
      </c>
      <c r="H67" s="262">
        <v>708</v>
      </c>
      <c r="I67" s="262">
        <v>20</v>
      </c>
      <c r="J67" s="262">
        <v>62</v>
      </c>
      <c r="K67" s="262">
        <v>5500</v>
      </c>
      <c r="L67" s="262">
        <v>1400</v>
      </c>
      <c r="M67" s="262">
        <v>7290</v>
      </c>
      <c r="N67" s="262"/>
      <c r="O67" s="262"/>
      <c r="P67" s="262"/>
      <c r="Q67" s="262"/>
      <c r="R67" s="262"/>
      <c r="S67" s="262"/>
    </row>
    <row r="68" spans="1:19" ht="31.5">
      <c r="A68" s="342">
        <v>6</v>
      </c>
      <c r="B68" s="537"/>
      <c r="C68" s="295" t="s">
        <v>213</v>
      </c>
      <c r="D68" s="345">
        <v>2.7</v>
      </c>
      <c r="E68" s="344">
        <v>27000</v>
      </c>
      <c r="F68" s="262">
        <v>10189</v>
      </c>
      <c r="G68" s="262">
        <v>10040</v>
      </c>
      <c r="H68" s="262">
        <v>1494</v>
      </c>
      <c r="I68" s="262">
        <v>14</v>
      </c>
      <c r="J68" s="262"/>
      <c r="K68" s="262">
        <v>5500</v>
      </c>
      <c r="L68" s="262"/>
      <c r="M68" s="262"/>
      <c r="N68" s="262"/>
      <c r="O68" s="262"/>
      <c r="P68" s="262"/>
      <c r="Q68" s="262"/>
      <c r="R68" s="262"/>
      <c r="S68" s="262"/>
    </row>
    <row r="69" spans="1:19" ht="31.5">
      <c r="A69" s="342">
        <v>7</v>
      </c>
      <c r="B69" s="537"/>
      <c r="C69" s="295" t="s">
        <v>214</v>
      </c>
      <c r="D69" s="345">
        <v>0.9</v>
      </c>
      <c r="E69" s="344">
        <v>27000</v>
      </c>
      <c r="F69" s="262">
        <v>30000</v>
      </c>
      <c r="G69" s="262">
        <v>10930</v>
      </c>
      <c r="H69" s="262">
        <v>719</v>
      </c>
      <c r="I69" s="262">
        <v>26</v>
      </c>
      <c r="J69" s="262"/>
      <c r="K69" s="262">
        <v>5500</v>
      </c>
      <c r="L69" s="262"/>
      <c r="M69" s="262"/>
      <c r="N69" s="262">
        <v>1800</v>
      </c>
      <c r="O69" s="262">
        <v>6040</v>
      </c>
      <c r="P69" s="262"/>
      <c r="Q69" s="262"/>
      <c r="R69" s="262"/>
      <c r="S69" s="262"/>
    </row>
    <row r="70" spans="1:19" ht="31.5">
      <c r="A70" s="342">
        <v>8</v>
      </c>
      <c r="B70" s="537"/>
      <c r="C70" s="295" t="s">
        <v>215</v>
      </c>
      <c r="D70" s="343">
        <v>1.4</v>
      </c>
      <c r="E70" s="344">
        <v>36000</v>
      </c>
      <c r="F70" s="262">
        <v>28125</v>
      </c>
      <c r="G70" s="262">
        <v>12300</v>
      </c>
      <c r="H70" s="262">
        <v>887</v>
      </c>
      <c r="I70" s="262">
        <v>28</v>
      </c>
      <c r="J70" s="262"/>
      <c r="K70" s="262">
        <v>5500</v>
      </c>
      <c r="L70" s="262"/>
      <c r="M70" s="262"/>
      <c r="N70" s="262">
        <v>2480</v>
      </c>
      <c r="O70" s="262">
        <v>6040</v>
      </c>
      <c r="P70" s="262"/>
      <c r="Q70" s="262"/>
      <c r="R70" s="262"/>
      <c r="S70" s="262"/>
    </row>
    <row r="71" spans="1:19" ht="15.75">
      <c r="A71" s="342">
        <v>9</v>
      </c>
      <c r="B71" s="537"/>
      <c r="C71" s="295" t="s">
        <v>216</v>
      </c>
      <c r="D71" s="345">
        <v>0.4</v>
      </c>
      <c r="E71" s="344">
        <v>27000</v>
      </c>
      <c r="F71" s="262">
        <v>72973</v>
      </c>
      <c r="G71" s="262">
        <v>3145</v>
      </c>
      <c r="H71" s="262">
        <v>1882</v>
      </c>
      <c r="I71" s="262">
        <v>3</v>
      </c>
      <c r="J71" s="262"/>
      <c r="K71" s="262">
        <v>5500</v>
      </c>
      <c r="L71" s="262">
        <v>740</v>
      </c>
      <c r="M71" s="262">
        <v>7290</v>
      </c>
      <c r="N71" s="262"/>
      <c r="O71" s="262"/>
      <c r="P71" s="262"/>
      <c r="Q71" s="262"/>
      <c r="R71" s="262"/>
      <c r="S71" s="262"/>
    </row>
    <row r="72" spans="1:19" ht="15.75">
      <c r="A72" s="342">
        <v>10</v>
      </c>
      <c r="B72" s="537"/>
      <c r="C72" s="295" t="s">
        <v>217</v>
      </c>
      <c r="D72" s="345">
        <v>0.2</v>
      </c>
      <c r="E72" s="344">
        <v>6150</v>
      </c>
      <c r="F72" s="262">
        <v>34166</v>
      </c>
      <c r="G72" s="262">
        <v>1400</v>
      </c>
      <c r="H72" s="262">
        <v>1031</v>
      </c>
      <c r="I72" s="262"/>
      <c r="J72" s="262"/>
      <c r="K72" s="262"/>
      <c r="L72" s="262">
        <v>360</v>
      </c>
      <c r="M72" s="262">
        <v>7290</v>
      </c>
      <c r="N72" s="262"/>
      <c r="O72" s="262"/>
      <c r="P72" s="262"/>
      <c r="Q72" s="262"/>
      <c r="R72" s="262"/>
      <c r="S72" s="262"/>
    </row>
    <row r="73" spans="1:19" ht="31.5">
      <c r="A73" s="342">
        <v>11</v>
      </c>
      <c r="B73" s="537"/>
      <c r="C73" s="295" t="s">
        <v>218</v>
      </c>
      <c r="D73" s="345">
        <v>0.8</v>
      </c>
      <c r="E73" s="344">
        <v>16700</v>
      </c>
      <c r="F73" s="262">
        <v>23194</v>
      </c>
      <c r="G73" s="262">
        <v>6200</v>
      </c>
      <c r="H73" s="262">
        <v>1544</v>
      </c>
      <c r="I73" s="262">
        <v>24</v>
      </c>
      <c r="J73" s="262"/>
      <c r="K73" s="262">
        <v>5500</v>
      </c>
      <c r="L73" s="262"/>
      <c r="M73" s="262"/>
      <c r="N73" s="262">
        <v>1197</v>
      </c>
      <c r="O73" s="262">
        <v>4126</v>
      </c>
      <c r="P73" s="262"/>
      <c r="Q73" s="262"/>
      <c r="R73" s="262"/>
      <c r="S73" s="262"/>
    </row>
    <row r="74" spans="1:19" ht="31.5">
      <c r="A74" s="342">
        <v>12</v>
      </c>
      <c r="B74" s="537"/>
      <c r="C74" s="295" t="s">
        <v>219</v>
      </c>
      <c r="D74" s="345">
        <v>1.5</v>
      </c>
      <c r="E74" s="344">
        <v>43600</v>
      </c>
      <c r="F74" s="262">
        <v>29660</v>
      </c>
      <c r="G74" s="262">
        <v>10835</v>
      </c>
      <c r="H74" s="262">
        <v>1329</v>
      </c>
      <c r="I74" s="262"/>
      <c r="J74" s="262">
        <v>42</v>
      </c>
      <c r="K74" s="262"/>
      <c r="L74" s="262">
        <v>1942</v>
      </c>
      <c r="M74" s="262">
        <v>7290</v>
      </c>
      <c r="N74" s="262"/>
      <c r="O74" s="262"/>
      <c r="P74" s="262"/>
      <c r="Q74" s="262"/>
      <c r="R74" s="262"/>
      <c r="S74" s="262"/>
    </row>
    <row r="75" spans="1:19" ht="31.5">
      <c r="A75" s="342">
        <v>13</v>
      </c>
      <c r="B75" s="537"/>
      <c r="C75" s="295" t="s">
        <v>220</v>
      </c>
      <c r="D75" s="345">
        <v>0.5</v>
      </c>
      <c r="E75" s="344">
        <v>18000</v>
      </c>
      <c r="F75" s="262">
        <v>40000</v>
      </c>
      <c r="G75" s="262">
        <v>4500</v>
      </c>
      <c r="H75" s="262">
        <v>702</v>
      </c>
      <c r="I75" s="262">
        <v>45</v>
      </c>
      <c r="J75" s="262"/>
      <c r="K75" s="262">
        <v>5500</v>
      </c>
      <c r="L75" s="262"/>
      <c r="M75" s="262"/>
      <c r="N75" s="262">
        <v>900</v>
      </c>
      <c r="O75" s="262">
        <v>4126</v>
      </c>
      <c r="P75" s="262"/>
      <c r="Q75" s="262"/>
      <c r="R75" s="262"/>
      <c r="S75" s="262"/>
    </row>
    <row r="76" spans="1:19" ht="31.5">
      <c r="A76" s="245">
        <v>14</v>
      </c>
      <c r="B76" s="537"/>
      <c r="C76" s="332" t="s">
        <v>221</v>
      </c>
      <c r="D76" s="333">
        <v>0.73</v>
      </c>
      <c r="E76" s="245"/>
      <c r="F76" s="245"/>
      <c r="G76" s="245">
        <v>4380</v>
      </c>
      <c r="H76" s="245"/>
      <c r="I76" s="245">
        <v>10</v>
      </c>
      <c r="J76" s="245"/>
      <c r="K76" s="245"/>
      <c r="L76" s="245"/>
      <c r="M76" s="245"/>
      <c r="N76" s="245">
        <v>803</v>
      </c>
      <c r="O76" s="245"/>
      <c r="P76" s="245"/>
      <c r="Q76" s="245"/>
      <c r="R76" s="245"/>
      <c r="S76" s="245"/>
    </row>
    <row r="77" spans="1:19" ht="16.5" thickBot="1">
      <c r="A77" s="253">
        <v>15</v>
      </c>
      <c r="B77" s="537"/>
      <c r="C77" s="346" t="s">
        <v>222</v>
      </c>
      <c r="D77" s="347">
        <v>0.75</v>
      </c>
      <c r="E77" s="253"/>
      <c r="F77" s="253"/>
      <c r="G77" s="253">
        <v>22436</v>
      </c>
      <c r="H77" s="253"/>
      <c r="I77" s="253">
        <v>6</v>
      </c>
      <c r="J77" s="253"/>
      <c r="K77" s="253"/>
      <c r="L77" s="253">
        <v>695</v>
      </c>
      <c r="M77" s="253"/>
      <c r="N77" s="253"/>
      <c r="O77" s="253"/>
      <c r="P77" s="253"/>
      <c r="Q77" s="253"/>
      <c r="R77" s="253"/>
      <c r="S77" s="253"/>
    </row>
    <row r="78" spans="1:19" ht="15.75">
      <c r="A78" s="304">
        <v>1</v>
      </c>
      <c r="B78" s="536" t="s">
        <v>223</v>
      </c>
      <c r="C78" s="327" t="s">
        <v>224</v>
      </c>
      <c r="D78" s="348">
        <v>8</v>
      </c>
      <c r="E78" s="349">
        <v>170.85</v>
      </c>
      <c r="F78" s="349">
        <v>21356.25</v>
      </c>
      <c r="G78" s="349">
        <v>56588</v>
      </c>
      <c r="H78" s="349">
        <v>689</v>
      </c>
      <c r="I78" s="349">
        <v>199</v>
      </c>
      <c r="J78" s="349">
        <v>179</v>
      </c>
      <c r="K78" s="349">
        <v>5950</v>
      </c>
      <c r="L78" s="349" t="s">
        <v>102</v>
      </c>
      <c r="M78" s="349" t="s">
        <v>102</v>
      </c>
      <c r="N78" s="349">
        <v>5968</v>
      </c>
      <c r="O78" s="349">
        <v>2276</v>
      </c>
      <c r="P78" s="349" t="s">
        <v>102</v>
      </c>
      <c r="Q78" s="349" t="s">
        <v>102</v>
      </c>
      <c r="R78" s="349">
        <v>52</v>
      </c>
      <c r="S78" s="350">
        <v>2231</v>
      </c>
    </row>
    <row r="79" spans="1:19" ht="32.25" thickBot="1">
      <c r="A79" s="298">
        <v>2</v>
      </c>
      <c r="B79" s="538"/>
      <c r="C79" s="351" t="s">
        <v>225</v>
      </c>
      <c r="D79" s="352">
        <v>0.36</v>
      </c>
      <c r="E79" s="352">
        <v>1625.86</v>
      </c>
      <c r="F79" s="352">
        <v>4516</v>
      </c>
      <c r="G79" s="352">
        <v>1255</v>
      </c>
      <c r="H79" s="352">
        <v>689</v>
      </c>
      <c r="I79" s="352">
        <v>6</v>
      </c>
      <c r="J79" s="352"/>
      <c r="K79" s="352"/>
      <c r="L79" s="352"/>
      <c r="M79" s="352"/>
      <c r="N79" s="352"/>
      <c r="O79" s="352"/>
      <c r="P79" s="352"/>
      <c r="Q79" s="352"/>
      <c r="R79" s="352"/>
      <c r="S79" s="353"/>
    </row>
    <row r="80" spans="1:19" ht="15.75">
      <c r="A80" s="354">
        <v>1</v>
      </c>
      <c r="B80" s="523" t="s">
        <v>226</v>
      </c>
      <c r="C80" s="295" t="s">
        <v>227</v>
      </c>
      <c r="D80" s="296">
        <v>2.5</v>
      </c>
      <c r="E80" s="355">
        <v>19430</v>
      </c>
      <c r="F80" s="278">
        <f aca="true" t="shared" si="4" ref="F80:F86">E80/D80</f>
        <v>7772</v>
      </c>
      <c r="G80" s="245">
        <v>14820</v>
      </c>
      <c r="H80" s="245">
        <v>572</v>
      </c>
      <c r="I80" s="245"/>
      <c r="J80" s="245">
        <v>21</v>
      </c>
      <c r="K80" s="245"/>
      <c r="L80" s="245"/>
      <c r="M80" s="245"/>
      <c r="N80" s="245">
        <v>1600</v>
      </c>
      <c r="O80" s="245">
        <v>363</v>
      </c>
      <c r="P80" s="245"/>
      <c r="Q80" s="245"/>
      <c r="R80" s="245"/>
      <c r="S80" s="245"/>
    </row>
    <row r="81" spans="1:19" ht="31.5">
      <c r="A81" s="354">
        <v>2</v>
      </c>
      <c r="B81" s="523"/>
      <c r="C81" s="295" t="s">
        <v>228</v>
      </c>
      <c r="D81" s="296">
        <v>2.8</v>
      </c>
      <c r="E81" s="355">
        <v>37280</v>
      </c>
      <c r="F81" s="278">
        <f t="shared" si="4"/>
        <v>13314.285714285716</v>
      </c>
      <c r="G81" s="245">
        <v>26811</v>
      </c>
      <c r="H81" s="245">
        <v>757</v>
      </c>
      <c r="I81" s="245">
        <v>75</v>
      </c>
      <c r="J81" s="245">
        <v>75</v>
      </c>
      <c r="K81" s="245">
        <v>5502</v>
      </c>
      <c r="L81" s="245"/>
      <c r="M81" s="245"/>
      <c r="N81" s="245">
        <v>1800</v>
      </c>
      <c r="O81" s="245">
        <v>377</v>
      </c>
      <c r="P81" s="245"/>
      <c r="Q81" s="245"/>
      <c r="R81" s="245"/>
      <c r="S81" s="245"/>
    </row>
    <row r="82" spans="1:19" ht="32.25" thickBot="1">
      <c r="A82" s="356">
        <v>3</v>
      </c>
      <c r="B82" s="524"/>
      <c r="C82" s="357" t="s">
        <v>229</v>
      </c>
      <c r="D82" s="358">
        <v>1</v>
      </c>
      <c r="E82" s="359">
        <v>7520</v>
      </c>
      <c r="F82" s="360">
        <f t="shared" si="4"/>
        <v>7520</v>
      </c>
      <c r="G82" s="253">
        <v>7030</v>
      </c>
      <c r="H82" s="253">
        <v>666</v>
      </c>
      <c r="I82" s="253">
        <v>2</v>
      </c>
      <c r="J82" s="253">
        <v>15</v>
      </c>
      <c r="K82" s="253">
        <v>5502</v>
      </c>
      <c r="L82" s="253"/>
      <c r="M82" s="253"/>
      <c r="N82" s="253"/>
      <c r="O82" s="253"/>
      <c r="P82" s="253"/>
      <c r="Q82" s="253"/>
      <c r="R82" s="253"/>
      <c r="S82" s="253"/>
    </row>
    <row r="83" spans="1:19" ht="32.25" thickBot="1">
      <c r="A83" s="176">
        <v>1</v>
      </c>
      <c r="B83" s="361" t="s">
        <v>230</v>
      </c>
      <c r="C83" s="362" t="s">
        <v>231</v>
      </c>
      <c r="D83" s="361">
        <v>0.9</v>
      </c>
      <c r="E83" s="363">
        <v>14400</v>
      </c>
      <c r="F83" s="364">
        <f t="shared" si="4"/>
        <v>16000</v>
      </c>
      <c r="G83" s="365">
        <v>4077</v>
      </c>
      <c r="H83" s="365">
        <v>644.26</v>
      </c>
      <c r="I83" s="365">
        <v>2</v>
      </c>
      <c r="J83" s="365">
        <v>24</v>
      </c>
      <c r="K83" s="365">
        <v>5502</v>
      </c>
      <c r="L83" s="365"/>
      <c r="M83" s="365"/>
      <c r="N83" s="365">
        <v>384</v>
      </c>
      <c r="O83" s="365">
        <v>377</v>
      </c>
      <c r="P83" s="365"/>
      <c r="Q83" s="365"/>
      <c r="R83" s="365">
        <v>4</v>
      </c>
      <c r="S83" s="366">
        <v>2751</v>
      </c>
    </row>
    <row r="84" spans="1:19" ht="15.75">
      <c r="A84" s="367">
        <v>1</v>
      </c>
      <c r="B84" s="525" t="s">
        <v>74</v>
      </c>
      <c r="C84" s="368" t="s">
        <v>232</v>
      </c>
      <c r="D84" s="369">
        <v>1.24</v>
      </c>
      <c r="E84" s="370">
        <v>37505</v>
      </c>
      <c r="F84" s="371">
        <f t="shared" si="4"/>
        <v>30245.967741935485</v>
      </c>
      <c r="G84" s="369">
        <v>14735</v>
      </c>
      <c r="H84" s="369">
        <v>1461.76</v>
      </c>
      <c r="I84" s="369">
        <v>6</v>
      </c>
      <c r="J84" s="369">
        <v>6</v>
      </c>
      <c r="K84" s="369">
        <v>17263.3</v>
      </c>
      <c r="L84" s="369"/>
      <c r="M84" s="369"/>
      <c r="N84" s="369">
        <v>1917</v>
      </c>
      <c r="O84" s="369">
        <v>1535.03</v>
      </c>
      <c r="P84" s="369"/>
      <c r="Q84" s="369"/>
      <c r="R84" s="369"/>
      <c r="S84" s="372"/>
    </row>
    <row r="85" spans="1:19" ht="15.75">
      <c r="A85" s="314">
        <v>2</v>
      </c>
      <c r="B85" s="523"/>
      <c r="C85" s="261" t="s">
        <v>233</v>
      </c>
      <c r="D85" s="262">
        <v>0.9</v>
      </c>
      <c r="E85" s="344">
        <v>6215</v>
      </c>
      <c r="F85" s="373">
        <f t="shared" si="4"/>
        <v>6905.555555555556</v>
      </c>
      <c r="G85" s="262">
        <v>6834</v>
      </c>
      <c r="H85" s="262">
        <v>909.42</v>
      </c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97"/>
    </row>
    <row r="86" spans="1:19" ht="31.5">
      <c r="A86" s="314">
        <v>3</v>
      </c>
      <c r="B86" s="523"/>
      <c r="C86" s="261" t="s">
        <v>234</v>
      </c>
      <c r="D86" s="245">
        <v>0.3</v>
      </c>
      <c r="E86" s="278">
        <v>8005</v>
      </c>
      <c r="F86" s="374">
        <f t="shared" si="4"/>
        <v>26683.333333333336</v>
      </c>
      <c r="G86" s="245">
        <v>2254</v>
      </c>
      <c r="H86" s="245">
        <v>967.69</v>
      </c>
      <c r="I86" s="245"/>
      <c r="J86" s="245"/>
      <c r="K86" s="245"/>
      <c r="L86" s="245">
        <v>265</v>
      </c>
      <c r="M86" s="245">
        <v>8839.27</v>
      </c>
      <c r="N86" s="245">
        <v>35</v>
      </c>
      <c r="O86" s="245">
        <v>3910.15</v>
      </c>
      <c r="P86" s="245"/>
      <c r="Q86" s="245"/>
      <c r="R86" s="245"/>
      <c r="S86" s="331"/>
    </row>
    <row r="87" spans="1:19" ht="31.5">
      <c r="A87" s="314">
        <v>4</v>
      </c>
      <c r="B87" s="523"/>
      <c r="C87" s="261" t="s">
        <v>235</v>
      </c>
      <c r="D87" s="277"/>
      <c r="E87" s="375">
        <v>2255</v>
      </c>
      <c r="F87" s="277"/>
      <c r="G87" s="262">
        <v>437</v>
      </c>
      <c r="H87" s="262">
        <v>915.58</v>
      </c>
      <c r="I87" s="262"/>
      <c r="J87" s="262"/>
      <c r="K87" s="262"/>
      <c r="L87" s="262">
        <v>97</v>
      </c>
      <c r="M87" s="262">
        <v>8839.27</v>
      </c>
      <c r="N87" s="262"/>
      <c r="O87" s="262"/>
      <c r="P87" s="262"/>
      <c r="Q87" s="262"/>
      <c r="R87" s="262"/>
      <c r="S87" s="297"/>
    </row>
    <row r="88" spans="1:19" ht="31.5">
      <c r="A88" s="314">
        <v>5</v>
      </c>
      <c r="B88" s="523"/>
      <c r="C88" s="376" t="s">
        <v>236</v>
      </c>
      <c r="D88" s="262"/>
      <c r="E88" s="344">
        <v>1685</v>
      </c>
      <c r="F88" s="262"/>
      <c r="G88" s="377">
        <v>264</v>
      </c>
      <c r="H88" s="373">
        <v>907.25</v>
      </c>
      <c r="I88" s="262"/>
      <c r="J88" s="262"/>
      <c r="K88" s="262"/>
      <c r="L88" s="262">
        <v>64</v>
      </c>
      <c r="M88" s="262">
        <v>8839.27</v>
      </c>
      <c r="N88" s="262"/>
      <c r="O88" s="262"/>
      <c r="P88" s="262"/>
      <c r="Q88" s="262"/>
      <c r="R88" s="262"/>
      <c r="S88" s="297"/>
    </row>
    <row r="89" spans="1:19" ht="31.5">
      <c r="A89" s="314">
        <v>6</v>
      </c>
      <c r="B89" s="523"/>
      <c r="C89" s="376" t="s">
        <v>237</v>
      </c>
      <c r="D89" s="262">
        <v>1.2</v>
      </c>
      <c r="E89" s="344">
        <v>10540</v>
      </c>
      <c r="F89" s="373">
        <f>E89/D89</f>
        <v>8783.333333333334</v>
      </c>
      <c r="G89" s="377">
        <v>10909</v>
      </c>
      <c r="H89" s="373">
        <v>910.5</v>
      </c>
      <c r="I89" s="262"/>
      <c r="J89" s="262"/>
      <c r="K89" s="262"/>
      <c r="L89" s="262"/>
      <c r="M89" s="262"/>
      <c r="N89" s="262">
        <v>40</v>
      </c>
      <c r="O89" s="262">
        <v>3911.86</v>
      </c>
      <c r="P89" s="262"/>
      <c r="Q89" s="262"/>
      <c r="R89" s="262"/>
      <c r="S89" s="297"/>
    </row>
    <row r="90" spans="1:19" ht="31.5">
      <c r="A90" s="314">
        <v>7</v>
      </c>
      <c r="B90" s="523"/>
      <c r="C90" s="376" t="s">
        <v>238</v>
      </c>
      <c r="D90" s="262">
        <v>0.85</v>
      </c>
      <c r="E90" s="344">
        <v>8156</v>
      </c>
      <c r="F90" s="373">
        <f>E90/D90</f>
        <v>9595.29411764706</v>
      </c>
      <c r="G90" s="377">
        <v>8105</v>
      </c>
      <c r="H90" s="373">
        <v>922.6</v>
      </c>
      <c r="I90" s="262"/>
      <c r="J90" s="262"/>
      <c r="K90" s="262"/>
      <c r="L90" s="262"/>
      <c r="M90" s="262"/>
      <c r="N90" s="262">
        <v>135</v>
      </c>
      <c r="O90" s="262">
        <v>3912.29</v>
      </c>
      <c r="P90" s="262"/>
      <c r="Q90" s="262"/>
      <c r="R90" s="262"/>
      <c r="S90" s="297"/>
    </row>
    <row r="91" spans="1:19" ht="15.75">
      <c r="A91" s="314">
        <v>8</v>
      </c>
      <c r="B91" s="523"/>
      <c r="C91" s="376" t="s">
        <v>239</v>
      </c>
      <c r="D91" s="262">
        <v>0.9</v>
      </c>
      <c r="E91" s="344">
        <v>6365</v>
      </c>
      <c r="F91" s="373">
        <f>E91/D91</f>
        <v>7072.222222222222</v>
      </c>
      <c r="G91" s="377">
        <v>5930</v>
      </c>
      <c r="H91" s="373">
        <v>1013.28</v>
      </c>
      <c r="I91" s="262"/>
      <c r="J91" s="262">
        <v>7</v>
      </c>
      <c r="K91" s="262">
        <v>9646.5</v>
      </c>
      <c r="L91" s="262"/>
      <c r="M91" s="262"/>
      <c r="N91" s="262"/>
      <c r="O91" s="262"/>
      <c r="P91" s="262"/>
      <c r="Q91" s="262"/>
      <c r="R91" s="262"/>
      <c r="S91" s="297"/>
    </row>
    <row r="92" spans="1:19" ht="31.5">
      <c r="A92" s="314">
        <v>9</v>
      </c>
      <c r="B92" s="523"/>
      <c r="C92" s="376" t="s">
        <v>240</v>
      </c>
      <c r="D92" s="262">
        <v>0.3</v>
      </c>
      <c r="E92" s="344">
        <v>4445</v>
      </c>
      <c r="F92" s="373">
        <f>E92/D92</f>
        <v>14816.666666666668</v>
      </c>
      <c r="G92" s="377">
        <v>2620</v>
      </c>
      <c r="H92" s="373">
        <v>1363.92</v>
      </c>
      <c r="I92" s="262"/>
      <c r="J92" s="262">
        <v>1</v>
      </c>
      <c r="K92" s="262">
        <v>13186.56</v>
      </c>
      <c r="L92" s="262"/>
      <c r="M92" s="262"/>
      <c r="N92" s="262">
        <v>25</v>
      </c>
      <c r="O92" s="262">
        <v>2514.04</v>
      </c>
      <c r="P92" s="262"/>
      <c r="Q92" s="262"/>
      <c r="R92" s="262"/>
      <c r="S92" s="297"/>
    </row>
    <row r="93" spans="1:19" ht="15.75">
      <c r="A93" s="314">
        <v>10</v>
      </c>
      <c r="B93" s="523"/>
      <c r="C93" s="376" t="s">
        <v>241</v>
      </c>
      <c r="D93" s="262">
        <v>0.45</v>
      </c>
      <c r="E93" s="344">
        <v>5055</v>
      </c>
      <c r="F93" s="373">
        <f>E93/D93</f>
        <v>11233.333333333334</v>
      </c>
      <c r="G93" s="377">
        <v>4480</v>
      </c>
      <c r="H93" s="373">
        <v>956.26</v>
      </c>
      <c r="I93" s="262">
        <v>5</v>
      </c>
      <c r="J93" s="262">
        <v>22</v>
      </c>
      <c r="K93" s="262">
        <v>16252.46</v>
      </c>
      <c r="L93" s="262"/>
      <c r="M93" s="262"/>
      <c r="N93" s="262"/>
      <c r="O93" s="262"/>
      <c r="P93" s="262"/>
      <c r="Q93" s="262"/>
      <c r="R93" s="262"/>
      <c r="S93" s="297"/>
    </row>
    <row r="94" spans="1:19" ht="31.5">
      <c r="A94" s="314">
        <v>11</v>
      </c>
      <c r="B94" s="523"/>
      <c r="C94" s="378" t="s">
        <v>242</v>
      </c>
      <c r="D94" s="379">
        <v>0.4</v>
      </c>
      <c r="E94" s="344"/>
      <c r="F94" s="373"/>
      <c r="G94" s="377">
        <v>1210</v>
      </c>
      <c r="H94" s="373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97"/>
    </row>
    <row r="95" spans="1:19" ht="31.5">
      <c r="A95" s="314">
        <v>12</v>
      </c>
      <c r="B95" s="523"/>
      <c r="C95" s="378" t="s">
        <v>243</v>
      </c>
      <c r="D95" s="379">
        <v>0.2</v>
      </c>
      <c r="E95" s="344"/>
      <c r="F95" s="373"/>
      <c r="G95" s="377">
        <v>2092</v>
      </c>
      <c r="H95" s="373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97"/>
    </row>
    <row r="96" spans="1:19" ht="16.5" thickBot="1">
      <c r="A96" s="380">
        <v>13</v>
      </c>
      <c r="B96" s="526"/>
      <c r="C96" s="381" t="s">
        <v>244</v>
      </c>
      <c r="D96" s="382">
        <v>0.9</v>
      </c>
      <c r="E96" s="383"/>
      <c r="F96" s="384"/>
      <c r="G96" s="385">
        <v>7358</v>
      </c>
      <c r="H96" s="384"/>
      <c r="I96" s="325">
        <v>5</v>
      </c>
      <c r="J96" s="325"/>
      <c r="K96" s="325"/>
      <c r="L96" s="325"/>
      <c r="M96" s="325"/>
      <c r="N96" s="325"/>
      <c r="O96" s="325"/>
      <c r="P96" s="325"/>
      <c r="Q96" s="325"/>
      <c r="R96" s="325"/>
      <c r="S96" s="303"/>
    </row>
    <row r="97" spans="1:19" ht="31.5">
      <c r="A97" s="304">
        <v>1</v>
      </c>
      <c r="B97" s="536" t="s">
        <v>72</v>
      </c>
      <c r="C97" s="386" t="s">
        <v>245</v>
      </c>
      <c r="D97" s="328">
        <v>3.45</v>
      </c>
      <c r="E97" s="329">
        <v>182990</v>
      </c>
      <c r="F97" s="328">
        <v>53040.6</v>
      </c>
      <c r="G97" s="328">
        <v>46911</v>
      </c>
      <c r="H97" s="328">
        <v>848</v>
      </c>
      <c r="I97" s="328"/>
      <c r="J97" s="328">
        <v>366</v>
      </c>
      <c r="K97" s="328"/>
      <c r="L97" s="328"/>
      <c r="M97" s="328"/>
      <c r="N97" s="328">
        <v>5686</v>
      </c>
      <c r="O97" s="328">
        <v>377.2</v>
      </c>
      <c r="P97" s="328"/>
      <c r="Q97" s="328"/>
      <c r="R97" s="328">
        <v>488</v>
      </c>
      <c r="S97" s="330">
        <v>4917.5</v>
      </c>
    </row>
    <row r="98" spans="1:19" ht="31.5">
      <c r="A98" s="294">
        <v>2</v>
      </c>
      <c r="B98" s="537"/>
      <c r="C98" s="295" t="s">
        <v>246</v>
      </c>
      <c r="D98" s="245">
        <v>0.77</v>
      </c>
      <c r="E98" s="278">
        <v>11288</v>
      </c>
      <c r="F98" s="245">
        <v>14659.7</v>
      </c>
      <c r="G98" s="245">
        <v>5207.9</v>
      </c>
      <c r="H98" s="245">
        <v>1025</v>
      </c>
      <c r="I98" s="245">
        <v>2</v>
      </c>
      <c r="J98" s="245">
        <v>8</v>
      </c>
      <c r="K98" s="245">
        <v>5502.06</v>
      </c>
      <c r="L98" s="245"/>
      <c r="M98" s="245"/>
      <c r="N98" s="245">
        <v>749</v>
      </c>
      <c r="O98" s="245">
        <v>377.2</v>
      </c>
      <c r="P98" s="245"/>
      <c r="Q98" s="245"/>
      <c r="R98" s="245"/>
      <c r="S98" s="331"/>
    </row>
    <row r="99" spans="1:19" ht="31.5">
      <c r="A99" s="294">
        <v>3</v>
      </c>
      <c r="B99" s="537"/>
      <c r="C99" s="295" t="s">
        <v>247</v>
      </c>
      <c r="D99" s="245">
        <v>0.7</v>
      </c>
      <c r="E99" s="278">
        <v>19357</v>
      </c>
      <c r="F99" s="245">
        <v>27652.8</v>
      </c>
      <c r="G99" s="245">
        <v>7050</v>
      </c>
      <c r="H99" s="245">
        <v>763</v>
      </c>
      <c r="I99" s="245">
        <v>15</v>
      </c>
      <c r="J99" s="245">
        <v>5</v>
      </c>
      <c r="K99" s="245">
        <v>5502.06</v>
      </c>
      <c r="L99" s="245"/>
      <c r="M99" s="245"/>
      <c r="N99" s="245">
        <v>1322</v>
      </c>
      <c r="O99" s="245">
        <v>377.2</v>
      </c>
      <c r="P99" s="245"/>
      <c r="Q99" s="245"/>
      <c r="R99" s="245">
        <v>56</v>
      </c>
      <c r="S99" s="331">
        <v>4917.5</v>
      </c>
    </row>
    <row r="100" spans="1:19" ht="31.5">
      <c r="A100" s="294">
        <v>4</v>
      </c>
      <c r="B100" s="537"/>
      <c r="C100" s="295" t="s">
        <v>248</v>
      </c>
      <c r="D100" s="245">
        <v>0.382</v>
      </c>
      <c r="E100" s="278">
        <v>2318</v>
      </c>
      <c r="F100" s="245">
        <v>6068.06</v>
      </c>
      <c r="G100" s="245">
        <v>2026</v>
      </c>
      <c r="H100" s="245">
        <v>657</v>
      </c>
      <c r="I100" s="245">
        <v>5</v>
      </c>
      <c r="J100" s="245">
        <v>5</v>
      </c>
      <c r="K100" s="245">
        <v>5502.06</v>
      </c>
      <c r="L100" s="245"/>
      <c r="M100" s="245"/>
      <c r="N100" s="245"/>
      <c r="O100" s="245"/>
      <c r="P100" s="245"/>
      <c r="Q100" s="245"/>
      <c r="R100" s="245"/>
      <c r="S100" s="331"/>
    </row>
    <row r="101" spans="1:19" ht="31.5">
      <c r="A101" s="294">
        <v>5</v>
      </c>
      <c r="B101" s="537"/>
      <c r="C101" s="295" t="s">
        <v>249</v>
      </c>
      <c r="D101" s="245">
        <v>1.48</v>
      </c>
      <c r="E101" s="278">
        <v>21352</v>
      </c>
      <c r="F101" s="245">
        <v>14427.02</v>
      </c>
      <c r="G101" s="245">
        <v>15686</v>
      </c>
      <c r="H101" s="245">
        <v>691</v>
      </c>
      <c r="I101" s="245">
        <v>30</v>
      </c>
      <c r="J101" s="245">
        <v>25</v>
      </c>
      <c r="K101" s="245">
        <v>5502.06</v>
      </c>
      <c r="L101" s="245"/>
      <c r="M101" s="245"/>
      <c r="N101" s="245">
        <v>1542</v>
      </c>
      <c r="O101" s="245">
        <v>377.2</v>
      </c>
      <c r="P101" s="245"/>
      <c r="Q101" s="245"/>
      <c r="R101" s="245"/>
      <c r="S101" s="331"/>
    </row>
    <row r="102" spans="1:19" ht="31.5">
      <c r="A102" s="294">
        <v>6</v>
      </c>
      <c r="B102" s="537"/>
      <c r="C102" s="295" t="s">
        <v>250</v>
      </c>
      <c r="D102" s="245">
        <v>1.32</v>
      </c>
      <c r="E102" s="278">
        <v>24282</v>
      </c>
      <c r="F102" s="245">
        <v>18395.4</v>
      </c>
      <c r="G102" s="245">
        <v>10644</v>
      </c>
      <c r="H102" s="245">
        <v>1303</v>
      </c>
      <c r="I102" s="245">
        <v>21</v>
      </c>
      <c r="J102" s="245">
        <v>10</v>
      </c>
      <c r="K102" s="245">
        <v>5502.06</v>
      </c>
      <c r="L102" s="245"/>
      <c r="M102" s="245"/>
      <c r="N102" s="245">
        <v>1210</v>
      </c>
      <c r="O102" s="245">
        <v>377.2</v>
      </c>
      <c r="P102" s="245"/>
      <c r="Q102" s="245"/>
      <c r="R102" s="245"/>
      <c r="S102" s="331"/>
    </row>
    <row r="103" spans="1:19" ht="31.5">
      <c r="A103" s="294">
        <v>7</v>
      </c>
      <c r="B103" s="537"/>
      <c r="C103" s="295" t="s">
        <v>251</v>
      </c>
      <c r="D103" s="245">
        <v>1.23</v>
      </c>
      <c r="E103" s="278">
        <v>25003</v>
      </c>
      <c r="F103" s="245">
        <v>20327.6</v>
      </c>
      <c r="G103" s="245">
        <v>10050</v>
      </c>
      <c r="H103" s="245">
        <v>663</v>
      </c>
      <c r="I103" s="245">
        <v>33</v>
      </c>
      <c r="J103" s="245">
        <v>25</v>
      </c>
      <c r="K103" s="245">
        <v>5502.06</v>
      </c>
      <c r="L103" s="245"/>
      <c r="M103" s="245"/>
      <c r="N103" s="245">
        <v>2300</v>
      </c>
      <c r="O103" s="245">
        <v>377.2</v>
      </c>
      <c r="P103" s="245"/>
      <c r="Q103" s="245"/>
      <c r="R103" s="245"/>
      <c r="S103" s="331"/>
    </row>
    <row r="104" spans="1:19" ht="31.5">
      <c r="A104" s="294">
        <v>8</v>
      </c>
      <c r="B104" s="537"/>
      <c r="C104" s="295" t="s">
        <v>252</v>
      </c>
      <c r="D104" s="245">
        <v>0.8</v>
      </c>
      <c r="E104" s="278">
        <v>25481</v>
      </c>
      <c r="F104" s="245">
        <v>31851.25</v>
      </c>
      <c r="G104" s="245">
        <v>10858</v>
      </c>
      <c r="H104" s="245">
        <v>964</v>
      </c>
      <c r="I104" s="245">
        <v>18</v>
      </c>
      <c r="J104" s="245">
        <v>17</v>
      </c>
      <c r="K104" s="245">
        <v>5502.06</v>
      </c>
      <c r="L104" s="245"/>
      <c r="M104" s="245"/>
      <c r="N104" s="245">
        <v>1100</v>
      </c>
      <c r="O104" s="245">
        <v>377.2</v>
      </c>
      <c r="P104" s="245"/>
      <c r="Q104" s="245"/>
      <c r="R104" s="245">
        <v>218</v>
      </c>
      <c r="S104" s="331">
        <v>4917.5</v>
      </c>
    </row>
    <row r="105" spans="1:19" ht="31.5">
      <c r="A105" s="294">
        <v>9</v>
      </c>
      <c r="B105" s="537"/>
      <c r="C105" s="295" t="s">
        <v>253</v>
      </c>
      <c r="D105" s="245">
        <v>1.4</v>
      </c>
      <c r="E105" s="278">
        <v>63839</v>
      </c>
      <c r="F105" s="245">
        <v>45599.28</v>
      </c>
      <c r="G105" s="245">
        <v>33600</v>
      </c>
      <c r="H105" s="245">
        <v>1367</v>
      </c>
      <c r="I105" s="245"/>
      <c r="J105" s="245">
        <v>3</v>
      </c>
      <c r="K105" s="245"/>
      <c r="L105" s="245"/>
      <c r="M105" s="245"/>
      <c r="N105" s="245">
        <v>700</v>
      </c>
      <c r="O105" s="245">
        <v>1375.5</v>
      </c>
      <c r="P105" s="245"/>
      <c r="Q105" s="245"/>
      <c r="R105" s="245">
        <v>695</v>
      </c>
      <c r="S105" s="331">
        <v>4917.5</v>
      </c>
    </row>
    <row r="106" spans="1:19" ht="31.5">
      <c r="A106" s="294">
        <v>10</v>
      </c>
      <c r="B106" s="537"/>
      <c r="C106" s="295" t="s">
        <v>254</v>
      </c>
      <c r="D106" s="245">
        <v>2.3</v>
      </c>
      <c r="E106" s="278">
        <v>39383</v>
      </c>
      <c r="F106" s="245">
        <v>17123.04</v>
      </c>
      <c r="G106" s="245">
        <v>16100</v>
      </c>
      <c r="H106" s="245">
        <v>1547</v>
      </c>
      <c r="I106" s="245"/>
      <c r="J106" s="245">
        <v>6</v>
      </c>
      <c r="K106" s="245"/>
      <c r="L106" s="245"/>
      <c r="M106" s="245"/>
      <c r="N106" s="245"/>
      <c r="O106" s="245"/>
      <c r="P106" s="245"/>
      <c r="Q106" s="245"/>
      <c r="R106" s="245"/>
      <c r="S106" s="331"/>
    </row>
    <row r="107" spans="1:19" ht="15.75">
      <c r="A107" s="294">
        <v>11</v>
      </c>
      <c r="B107" s="537"/>
      <c r="C107" s="295" t="s">
        <v>255</v>
      </c>
      <c r="D107" s="245">
        <v>4.7</v>
      </c>
      <c r="E107" s="278">
        <v>74493</v>
      </c>
      <c r="F107" s="245">
        <v>15849.57</v>
      </c>
      <c r="G107" s="245">
        <v>34630</v>
      </c>
      <c r="H107" s="245">
        <v>1085</v>
      </c>
      <c r="I107" s="245">
        <v>8</v>
      </c>
      <c r="J107" s="245"/>
      <c r="K107" s="245">
        <v>5502.06</v>
      </c>
      <c r="L107" s="245"/>
      <c r="M107" s="245"/>
      <c r="N107" s="245"/>
      <c r="O107" s="245"/>
      <c r="P107" s="245"/>
      <c r="Q107" s="245"/>
      <c r="R107" s="245"/>
      <c r="S107" s="331"/>
    </row>
    <row r="108" spans="1:19" ht="47.25">
      <c r="A108" s="294">
        <v>12</v>
      </c>
      <c r="B108" s="537"/>
      <c r="C108" s="295" t="s">
        <v>256</v>
      </c>
      <c r="D108" s="245">
        <v>1.3</v>
      </c>
      <c r="E108" s="278">
        <v>9135</v>
      </c>
      <c r="F108" s="245">
        <v>7026.92</v>
      </c>
      <c r="G108" s="245">
        <v>4331</v>
      </c>
      <c r="H108" s="245">
        <v>1404</v>
      </c>
      <c r="I108" s="245"/>
      <c r="J108" s="245">
        <v>18</v>
      </c>
      <c r="K108" s="245"/>
      <c r="L108" s="245"/>
      <c r="M108" s="245"/>
      <c r="N108" s="245"/>
      <c r="O108" s="245"/>
      <c r="P108" s="245"/>
      <c r="Q108" s="245"/>
      <c r="R108" s="245"/>
      <c r="S108" s="331"/>
    </row>
    <row r="109" spans="1:19" ht="47.25">
      <c r="A109" s="294">
        <v>13</v>
      </c>
      <c r="B109" s="537"/>
      <c r="C109" s="261" t="s">
        <v>257</v>
      </c>
      <c r="D109" s="245">
        <v>0.7</v>
      </c>
      <c r="E109" s="245">
        <v>109145.4</v>
      </c>
      <c r="F109" s="245">
        <v>155922</v>
      </c>
      <c r="G109" s="245">
        <v>7505</v>
      </c>
      <c r="H109" s="245">
        <v>1510</v>
      </c>
      <c r="I109" s="245">
        <v>30</v>
      </c>
      <c r="J109" s="245"/>
      <c r="K109" s="245">
        <v>5502.06</v>
      </c>
      <c r="L109" s="245">
        <v>2500</v>
      </c>
      <c r="M109" s="245">
        <v>7290.23</v>
      </c>
      <c r="N109" s="245"/>
      <c r="O109" s="245"/>
      <c r="P109" s="245"/>
      <c r="Q109" s="245"/>
      <c r="R109" s="245"/>
      <c r="S109" s="331"/>
    </row>
    <row r="110" spans="1:19" ht="31.5">
      <c r="A110" s="294">
        <v>14</v>
      </c>
      <c r="B110" s="537"/>
      <c r="C110" s="261" t="s">
        <v>258</v>
      </c>
      <c r="D110" s="245">
        <v>5.2</v>
      </c>
      <c r="E110" s="245">
        <v>157296.1</v>
      </c>
      <c r="F110" s="245">
        <v>30249.25</v>
      </c>
      <c r="G110" s="245">
        <v>83200</v>
      </c>
      <c r="H110" s="245">
        <v>1369</v>
      </c>
      <c r="I110" s="245"/>
      <c r="J110" s="245"/>
      <c r="K110" s="245"/>
      <c r="L110" s="245"/>
      <c r="M110" s="245"/>
      <c r="N110" s="245">
        <v>150</v>
      </c>
      <c r="O110" s="245">
        <v>1375.5</v>
      </c>
      <c r="P110" s="245"/>
      <c r="Q110" s="245"/>
      <c r="R110" s="245">
        <v>5062</v>
      </c>
      <c r="S110" s="331"/>
    </row>
    <row r="111" spans="1:19" ht="15.75">
      <c r="A111" s="314">
        <v>15</v>
      </c>
      <c r="B111" s="537"/>
      <c r="C111" s="387" t="s">
        <v>259</v>
      </c>
      <c r="D111" s="388">
        <v>1.8</v>
      </c>
      <c r="E111" s="262"/>
      <c r="F111" s="262"/>
      <c r="G111" s="262">
        <v>11750</v>
      </c>
      <c r="H111" s="262"/>
      <c r="I111" s="262"/>
      <c r="J111" s="262"/>
      <c r="K111" s="262"/>
      <c r="L111" s="262">
        <v>1205</v>
      </c>
      <c r="M111" s="262"/>
      <c r="N111" s="262"/>
      <c r="O111" s="262"/>
      <c r="P111" s="262"/>
      <c r="Q111" s="262"/>
      <c r="R111" s="262"/>
      <c r="S111" s="389"/>
    </row>
    <row r="112" spans="1:19" ht="16.5" thickBot="1">
      <c r="A112" s="390">
        <v>16</v>
      </c>
      <c r="B112" s="537"/>
      <c r="C112" s="391" t="s">
        <v>260</v>
      </c>
      <c r="D112" s="392">
        <v>0.4</v>
      </c>
      <c r="E112" s="393"/>
      <c r="F112" s="393"/>
      <c r="G112" s="393">
        <v>3478</v>
      </c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4"/>
    </row>
    <row r="113" spans="1:19" ht="15.75">
      <c r="A113" s="304">
        <v>1</v>
      </c>
      <c r="B113" s="536" t="s">
        <v>261</v>
      </c>
      <c r="C113" s="386" t="s">
        <v>262</v>
      </c>
      <c r="D113" s="395">
        <v>4.8</v>
      </c>
      <c r="E113" s="396">
        <v>59275.38</v>
      </c>
      <c r="F113" s="397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30"/>
    </row>
    <row r="114" spans="1:19" ht="32.25" thickBot="1">
      <c r="A114" s="298">
        <v>2</v>
      </c>
      <c r="B114" s="538"/>
      <c r="C114" s="398" t="s">
        <v>263</v>
      </c>
      <c r="D114" s="399">
        <v>2</v>
      </c>
      <c r="E114" s="400">
        <v>20135.48</v>
      </c>
      <c r="F114" s="401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36"/>
    </row>
    <row r="115" spans="1:19" ht="15.75">
      <c r="A115" s="269"/>
      <c r="B115" s="536" t="s">
        <v>264</v>
      </c>
      <c r="C115" s="402" t="s">
        <v>265</v>
      </c>
      <c r="D115" s="403">
        <v>1.1</v>
      </c>
      <c r="E115" s="404"/>
      <c r="F115" s="269"/>
      <c r="G115" s="269">
        <v>27887</v>
      </c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</row>
    <row r="116" spans="1:19" ht="31.5">
      <c r="A116" s="245"/>
      <c r="B116" s="537"/>
      <c r="C116" s="295" t="s">
        <v>266</v>
      </c>
      <c r="D116" s="296">
        <v>3.3</v>
      </c>
      <c r="E116" s="405"/>
      <c r="F116" s="245"/>
      <c r="G116" s="245">
        <v>70827</v>
      </c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</row>
    <row r="117" spans="1:19" ht="15.75">
      <c r="A117" s="245"/>
      <c r="B117" s="537"/>
      <c r="C117" s="295" t="s">
        <v>267</v>
      </c>
      <c r="D117" s="296">
        <v>2.3</v>
      </c>
      <c r="E117" s="405"/>
      <c r="F117" s="245"/>
      <c r="G117" s="245">
        <v>26200</v>
      </c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</row>
    <row r="118" spans="1:19" ht="31.5">
      <c r="A118" s="245"/>
      <c r="B118" s="537"/>
      <c r="C118" s="295" t="s">
        <v>268</v>
      </c>
      <c r="D118" s="296">
        <v>0.7</v>
      </c>
      <c r="E118" s="405"/>
      <c r="F118" s="245"/>
      <c r="G118" s="245">
        <v>10010</v>
      </c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</row>
    <row r="119" spans="1:19" ht="31.5">
      <c r="A119" s="245"/>
      <c r="B119" s="537"/>
      <c r="C119" s="295" t="s">
        <v>269</v>
      </c>
      <c r="D119" s="296">
        <v>0.7</v>
      </c>
      <c r="E119" s="405"/>
      <c r="F119" s="245"/>
      <c r="G119" s="245">
        <v>5237</v>
      </c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</row>
    <row r="120" spans="1:19" ht="31.5">
      <c r="A120" s="245"/>
      <c r="B120" s="537"/>
      <c r="C120" s="295" t="s">
        <v>270</v>
      </c>
      <c r="D120" s="345">
        <v>2.8</v>
      </c>
      <c r="E120" s="405"/>
      <c r="F120" s="245"/>
      <c r="G120" s="245">
        <v>31015</v>
      </c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</row>
    <row r="121" spans="1:19" ht="15.75">
      <c r="A121" s="245"/>
      <c r="B121" s="537"/>
      <c r="C121" s="295" t="s">
        <v>271</v>
      </c>
      <c r="D121" s="345">
        <v>3.1</v>
      </c>
      <c r="E121" s="405"/>
      <c r="F121" s="245"/>
      <c r="G121" s="245">
        <v>52880</v>
      </c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</row>
    <row r="122" spans="1:19" ht="31.5">
      <c r="A122" s="245"/>
      <c r="B122" s="537"/>
      <c r="C122" s="295" t="s">
        <v>272</v>
      </c>
      <c r="D122" s="345">
        <v>2.5</v>
      </c>
      <c r="E122" s="405"/>
      <c r="F122" s="245"/>
      <c r="G122" s="245">
        <v>32949</v>
      </c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</row>
    <row r="123" spans="1:19" ht="31.5">
      <c r="A123" s="406"/>
      <c r="B123" s="537"/>
      <c r="C123" s="295" t="s">
        <v>273</v>
      </c>
      <c r="D123" s="345">
        <v>0.5</v>
      </c>
      <c r="E123" s="404"/>
      <c r="F123" s="269"/>
      <c r="G123" s="269">
        <v>4648</v>
      </c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407"/>
    </row>
    <row r="124" spans="1:19" ht="15.75">
      <c r="A124" s="294"/>
      <c r="B124" s="537"/>
      <c r="C124" s="295" t="s">
        <v>274</v>
      </c>
      <c r="D124" s="345">
        <v>1.2</v>
      </c>
      <c r="E124" s="405"/>
      <c r="F124" s="245"/>
      <c r="G124" s="245">
        <v>8179</v>
      </c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331"/>
    </row>
    <row r="125" spans="1:19" ht="31.5">
      <c r="A125" s="294"/>
      <c r="B125" s="537"/>
      <c r="C125" s="295" t="s">
        <v>275</v>
      </c>
      <c r="D125" s="345">
        <v>0.7</v>
      </c>
      <c r="E125" s="405"/>
      <c r="F125" s="245"/>
      <c r="G125" s="245">
        <v>6511</v>
      </c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331"/>
    </row>
    <row r="126" spans="1:19" ht="15.75">
      <c r="A126" s="294"/>
      <c r="B126" s="537"/>
      <c r="C126" s="295" t="s">
        <v>276</v>
      </c>
      <c r="D126" s="345">
        <v>3</v>
      </c>
      <c r="E126" s="405"/>
      <c r="F126" s="245"/>
      <c r="G126" s="245">
        <v>24442</v>
      </c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331"/>
    </row>
    <row r="127" spans="1:19" ht="31.5">
      <c r="A127" s="294"/>
      <c r="B127" s="537"/>
      <c r="C127" s="295" t="s">
        <v>277</v>
      </c>
      <c r="D127" s="345">
        <v>1.3</v>
      </c>
      <c r="E127" s="405"/>
      <c r="F127" s="245"/>
      <c r="G127" s="245">
        <v>12203</v>
      </c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331"/>
    </row>
    <row r="128" spans="1:19" ht="31.5">
      <c r="A128" s="294"/>
      <c r="B128" s="537"/>
      <c r="C128" s="295" t="s">
        <v>278</v>
      </c>
      <c r="D128" s="345">
        <v>1.4</v>
      </c>
      <c r="E128" s="405"/>
      <c r="F128" s="245"/>
      <c r="G128" s="245">
        <v>14000</v>
      </c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331"/>
    </row>
    <row r="129" spans="1:19" ht="31.5">
      <c r="A129" s="294"/>
      <c r="B129" s="537"/>
      <c r="C129" s="295" t="s">
        <v>279</v>
      </c>
      <c r="D129" s="345">
        <v>0.8</v>
      </c>
      <c r="E129" s="405"/>
      <c r="F129" s="245"/>
      <c r="G129" s="245">
        <v>5670</v>
      </c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331"/>
    </row>
    <row r="130" spans="1:19" ht="15.75">
      <c r="A130" s="294"/>
      <c r="B130" s="537"/>
      <c r="C130" s="295" t="s">
        <v>280</v>
      </c>
      <c r="D130" s="345">
        <v>1.6</v>
      </c>
      <c r="E130" s="405"/>
      <c r="F130" s="245"/>
      <c r="G130" s="245">
        <v>14400</v>
      </c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331"/>
    </row>
    <row r="131" spans="1:19" ht="31.5">
      <c r="A131" s="294"/>
      <c r="B131" s="537"/>
      <c r="C131" s="295" t="s">
        <v>281</v>
      </c>
      <c r="D131" s="345">
        <v>1.2</v>
      </c>
      <c r="E131" s="405"/>
      <c r="F131" s="245"/>
      <c r="G131" s="245">
        <v>11647</v>
      </c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331"/>
    </row>
    <row r="132" spans="1:19" ht="15.75">
      <c r="A132" s="294"/>
      <c r="B132" s="537"/>
      <c r="C132" s="332" t="s">
        <v>282</v>
      </c>
      <c r="D132" s="343">
        <v>1.2</v>
      </c>
      <c r="E132" s="405"/>
      <c r="F132" s="245"/>
      <c r="G132" s="245">
        <v>11140</v>
      </c>
      <c r="H132" s="245"/>
      <c r="I132" s="245"/>
      <c r="J132" s="245"/>
      <c r="K132" s="245"/>
      <c r="L132" s="245"/>
      <c r="M132" s="245"/>
      <c r="N132" s="245">
        <v>198</v>
      </c>
      <c r="O132" s="245"/>
      <c r="P132" s="245"/>
      <c r="Q132" s="245"/>
      <c r="R132" s="245"/>
      <c r="S132" s="331"/>
    </row>
    <row r="133" spans="1:19" ht="31.5">
      <c r="A133" s="294"/>
      <c r="B133" s="537"/>
      <c r="C133" s="295" t="s">
        <v>283</v>
      </c>
      <c r="D133" s="345">
        <v>2</v>
      </c>
      <c r="E133" s="405"/>
      <c r="F133" s="245"/>
      <c r="G133" s="245">
        <v>25458</v>
      </c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331"/>
    </row>
    <row r="134" spans="1:19" ht="31.5">
      <c r="A134" s="408"/>
      <c r="B134" s="537"/>
      <c r="C134" s="357" t="s">
        <v>284</v>
      </c>
      <c r="D134" s="358">
        <v>4.2</v>
      </c>
      <c r="E134" s="409"/>
      <c r="F134" s="253"/>
      <c r="G134" s="253">
        <v>22618</v>
      </c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410"/>
    </row>
    <row r="135" spans="1:19" ht="31.5">
      <c r="A135" s="245"/>
      <c r="B135" s="527"/>
      <c r="C135" s="332" t="s">
        <v>285</v>
      </c>
      <c r="D135" s="411">
        <v>0.63</v>
      </c>
      <c r="E135" s="245"/>
      <c r="F135" s="245"/>
      <c r="G135" s="245">
        <v>4989</v>
      </c>
      <c r="H135" s="245"/>
      <c r="I135" s="245"/>
      <c r="J135" s="245">
        <v>3</v>
      </c>
      <c r="K135" s="245"/>
      <c r="L135" s="245"/>
      <c r="M135" s="245"/>
      <c r="N135" s="245">
        <v>1252</v>
      </c>
      <c r="O135" s="245"/>
      <c r="P135" s="245"/>
      <c r="Q135" s="245"/>
      <c r="R135" s="245"/>
      <c r="S135" s="245"/>
    </row>
    <row r="136" spans="1:19" ht="15.75">
      <c r="A136" s="245"/>
      <c r="B136" s="245"/>
      <c r="C136" s="295"/>
      <c r="D136" s="412">
        <f>SUM(D22:D135)</f>
        <v>213.47900000000004</v>
      </c>
      <c r="E136" s="412">
        <f aca="true" t="shared" si="5" ref="E136:S136">SUM(E22:E135)</f>
        <v>3528234.4499999997</v>
      </c>
      <c r="F136" s="412">
        <f t="shared" si="5"/>
        <v>2036859.8672657656</v>
      </c>
      <c r="G136" s="412">
        <f t="shared" si="5"/>
        <v>2114158.8</v>
      </c>
      <c r="H136" s="412">
        <f t="shared" si="5"/>
        <v>106469.52991562393</v>
      </c>
      <c r="I136" s="412">
        <f t="shared" si="5"/>
        <v>1443</v>
      </c>
      <c r="J136" s="412">
        <f t="shared" si="5"/>
        <v>2202</v>
      </c>
      <c r="K136" s="412">
        <f t="shared" si="5"/>
        <v>739220.921638859</v>
      </c>
      <c r="L136" s="412">
        <f t="shared" si="5"/>
        <v>13920</v>
      </c>
      <c r="M136" s="412">
        <f t="shared" si="5"/>
        <v>82546.67746847055</v>
      </c>
      <c r="N136" s="412">
        <f t="shared" si="5"/>
        <v>97108</v>
      </c>
      <c r="O136" s="412">
        <f t="shared" si="5"/>
        <v>107005.35643725336</v>
      </c>
      <c r="P136" s="412">
        <f t="shared" si="5"/>
        <v>2860</v>
      </c>
      <c r="Q136" s="412">
        <f t="shared" si="5"/>
        <v>371</v>
      </c>
      <c r="R136" s="412">
        <f t="shared" si="5"/>
        <v>16737</v>
      </c>
      <c r="S136" s="412">
        <f t="shared" si="5"/>
        <v>92561.52888631313</v>
      </c>
    </row>
    <row r="137" spans="1:19" ht="16.5" thickBot="1">
      <c r="A137" s="253"/>
      <c r="B137" s="253"/>
      <c r="C137" s="413" t="s">
        <v>159</v>
      </c>
      <c r="D137" s="358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</row>
    <row r="138" spans="1:19" ht="16.5" thickBot="1">
      <c r="A138" s="528" t="s">
        <v>106</v>
      </c>
      <c r="B138" s="529"/>
      <c r="C138" s="529"/>
      <c r="D138" s="529"/>
      <c r="E138" s="529"/>
      <c r="F138" s="529"/>
      <c r="G138" s="529"/>
      <c r="H138" s="529"/>
      <c r="I138" s="529"/>
      <c r="J138" s="529"/>
      <c r="K138" s="529"/>
      <c r="L138" s="529"/>
      <c r="M138" s="529"/>
      <c r="N138" s="529"/>
      <c r="O138" s="529"/>
      <c r="P138" s="529"/>
      <c r="Q138" s="529"/>
      <c r="R138" s="529"/>
      <c r="S138" s="484"/>
    </row>
    <row r="139" spans="1:19" ht="15.75">
      <c r="A139" s="485" t="s">
        <v>286</v>
      </c>
      <c r="B139" s="486"/>
      <c r="C139" s="486"/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705"/>
    </row>
    <row r="140" spans="1:19" ht="15.75">
      <c r="A140" s="191">
        <v>1</v>
      </c>
      <c r="B140" s="537" t="s">
        <v>287</v>
      </c>
      <c r="C140" s="414" t="s">
        <v>106</v>
      </c>
      <c r="D140" s="269" t="s">
        <v>288</v>
      </c>
      <c r="E140" s="415">
        <v>149849.96</v>
      </c>
      <c r="F140" s="415"/>
      <c r="G140" s="415">
        <v>75835</v>
      </c>
      <c r="H140" s="415">
        <v>1976</v>
      </c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6"/>
    </row>
    <row r="141" spans="1:19" ht="15.75">
      <c r="A141" s="62">
        <v>2</v>
      </c>
      <c r="B141" s="537"/>
      <c r="C141" s="261" t="s">
        <v>289</v>
      </c>
      <c r="D141" s="245" t="s">
        <v>290</v>
      </c>
      <c r="E141" s="291">
        <v>7270.2</v>
      </c>
      <c r="F141" s="291"/>
      <c r="G141" s="291"/>
      <c r="H141" s="291"/>
      <c r="I141" s="291"/>
      <c r="J141" s="291">
        <v>350</v>
      </c>
      <c r="K141" s="291">
        <v>20772</v>
      </c>
      <c r="L141" s="291"/>
      <c r="M141" s="291"/>
      <c r="N141" s="291"/>
      <c r="O141" s="291"/>
      <c r="P141" s="291"/>
      <c r="Q141" s="291"/>
      <c r="R141" s="291"/>
      <c r="S141" s="293"/>
    </row>
    <row r="142" spans="1:19" ht="15.75">
      <c r="A142" s="193">
        <v>3</v>
      </c>
      <c r="B142" s="537"/>
      <c r="C142" s="261" t="s">
        <v>291</v>
      </c>
      <c r="D142" s="245" t="s">
        <v>292</v>
      </c>
      <c r="E142" s="245">
        <v>10113.75</v>
      </c>
      <c r="F142" s="245"/>
      <c r="G142" s="245"/>
      <c r="H142" s="245"/>
      <c r="I142" s="245">
        <v>250</v>
      </c>
      <c r="J142" s="245"/>
      <c r="K142" s="245">
        <v>40455</v>
      </c>
      <c r="L142" s="262"/>
      <c r="M142" s="262"/>
      <c r="N142" s="262"/>
      <c r="O142" s="262"/>
      <c r="P142" s="262"/>
      <c r="Q142" s="262"/>
      <c r="R142" s="262"/>
      <c r="S142" s="417"/>
    </row>
    <row r="143" spans="1:19" ht="15.75">
      <c r="A143" s="418"/>
      <c r="B143" s="265"/>
      <c r="C143" s="419" t="s">
        <v>159</v>
      </c>
      <c r="D143" s="393"/>
      <c r="E143" s="420">
        <f>SUM(E140:E142)</f>
        <v>167233.91</v>
      </c>
      <c r="F143" s="420"/>
      <c r="G143" s="420">
        <f>SUM(G140:G142)</f>
        <v>75835</v>
      </c>
      <c r="H143" s="420">
        <f>SUM(H140:H142)</f>
        <v>1976</v>
      </c>
      <c r="I143" s="420">
        <f>SUM(I140:I142)</f>
        <v>250</v>
      </c>
      <c r="J143" s="420">
        <f>SUM(J140:J142)</f>
        <v>350</v>
      </c>
      <c r="K143" s="420">
        <f>SUM(K140:K142)</f>
        <v>61227</v>
      </c>
      <c r="L143" s="393"/>
      <c r="M143" s="393"/>
      <c r="N143" s="393"/>
      <c r="O143" s="393"/>
      <c r="P143" s="393"/>
      <c r="Q143" s="393"/>
      <c r="R143" s="393"/>
      <c r="S143" s="394"/>
    </row>
    <row r="144" spans="1:19" ht="15.75">
      <c r="A144" s="706" t="s">
        <v>293</v>
      </c>
      <c r="B144" s="707"/>
      <c r="C144" s="707"/>
      <c r="D144" s="707"/>
      <c r="E144" s="707"/>
      <c r="F144" s="707"/>
      <c r="G144" s="707"/>
      <c r="H144" s="707"/>
      <c r="I144" s="707"/>
      <c r="J144" s="707"/>
      <c r="K144" s="707"/>
      <c r="L144" s="707"/>
      <c r="M144" s="707"/>
      <c r="N144" s="707"/>
      <c r="O144" s="707"/>
      <c r="P144" s="707"/>
      <c r="Q144" s="707"/>
      <c r="R144" s="707"/>
      <c r="S144" s="708"/>
    </row>
    <row r="145" spans="1:19" ht="15.75">
      <c r="A145" s="314">
        <v>1</v>
      </c>
      <c r="B145" s="421"/>
      <c r="C145" s="421" t="s">
        <v>106</v>
      </c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389"/>
    </row>
    <row r="146" spans="1:19" ht="16.5" thickBot="1">
      <c r="A146" s="380">
        <v>2</v>
      </c>
      <c r="B146" s="422"/>
      <c r="C146" s="422" t="s">
        <v>107</v>
      </c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6"/>
    </row>
    <row r="147" ht="16.5" thickBot="1"/>
    <row r="148" spans="1:19" ht="16.5" thickBot="1">
      <c r="A148" s="5"/>
      <c r="B148" s="423"/>
      <c r="C148" s="424" t="s">
        <v>294</v>
      </c>
      <c r="D148" s="425">
        <f>D136+D14+D20</f>
        <v>242.17900000000003</v>
      </c>
      <c r="E148" s="426">
        <f>SUM(E143,E136,E14,E20)</f>
        <v>5454460.233999999</v>
      </c>
      <c r="F148" s="426">
        <f>SUM(F143,F136,F14,F20)</f>
        <v>2640540.4222243545</v>
      </c>
      <c r="G148" s="426">
        <f aca="true" t="shared" si="6" ref="G148:S148">SUM(G143,G136,G14,G20)</f>
        <v>2504513.8</v>
      </c>
      <c r="H148" s="426">
        <f t="shared" si="6"/>
        <v>129634.3857803163</v>
      </c>
      <c r="I148" s="426">
        <f t="shared" si="6"/>
        <v>2428</v>
      </c>
      <c r="J148" s="426">
        <f t="shared" si="6"/>
        <v>3253</v>
      </c>
      <c r="K148" s="426">
        <f t="shared" si="6"/>
        <v>906020.6565791244</v>
      </c>
      <c r="L148" s="426">
        <f t="shared" si="6"/>
        <v>32695</v>
      </c>
      <c r="M148" s="426">
        <f t="shared" si="6"/>
        <v>110993.21112143858</v>
      </c>
      <c r="N148" s="426">
        <f t="shared" si="6"/>
        <v>100433</v>
      </c>
      <c r="O148" s="426">
        <f t="shared" si="6"/>
        <v>111897.49763897009</v>
      </c>
      <c r="P148" s="426">
        <f t="shared" si="6"/>
        <v>2860</v>
      </c>
      <c r="Q148" s="426">
        <f t="shared" si="6"/>
        <v>371</v>
      </c>
      <c r="R148" s="426">
        <f t="shared" si="6"/>
        <v>17225</v>
      </c>
      <c r="S148" s="427">
        <f t="shared" si="6"/>
        <v>111747.59819324382</v>
      </c>
    </row>
    <row r="151" spans="3:5" ht="15.75">
      <c r="C151" s="428"/>
      <c r="E151" s="237" t="s">
        <v>102</v>
      </c>
    </row>
    <row r="152" spans="3:14" ht="15.75">
      <c r="C152" s="38"/>
      <c r="D152" s="429"/>
      <c r="E152" s="430">
        <f>E143+G92</f>
        <v>169853.91</v>
      </c>
      <c r="F152" s="429"/>
      <c r="G152" s="429"/>
      <c r="H152" s="429"/>
      <c r="I152" s="429"/>
      <c r="J152" s="429"/>
      <c r="K152" s="429"/>
      <c r="N152" s="237">
        <f>L148+N148+P148</f>
        <v>135988</v>
      </c>
    </row>
    <row r="153" spans="3:11" ht="15.75">
      <c r="C153" s="431"/>
      <c r="D153" s="429"/>
      <c r="E153" s="429"/>
      <c r="F153" s="429"/>
      <c r="G153" s="429"/>
      <c r="H153" s="429"/>
      <c r="I153" s="429"/>
      <c r="J153" s="429"/>
      <c r="K153" s="429"/>
    </row>
  </sheetData>
  <mergeCells count="34">
    <mergeCell ref="A138:S138"/>
    <mergeCell ref="A139:S139"/>
    <mergeCell ref="B140:B142"/>
    <mergeCell ref="A144:S144"/>
    <mergeCell ref="B84:B96"/>
    <mergeCell ref="B97:B112"/>
    <mergeCell ref="B113:B114"/>
    <mergeCell ref="B115:B135"/>
    <mergeCell ref="B51:B62"/>
    <mergeCell ref="B63:B77"/>
    <mergeCell ref="B78:B79"/>
    <mergeCell ref="B80:B82"/>
    <mergeCell ref="A15:S15"/>
    <mergeCell ref="A21:S21"/>
    <mergeCell ref="B22:B31"/>
    <mergeCell ref="B32:B50"/>
    <mergeCell ref="R6:R7"/>
    <mergeCell ref="S6:S7"/>
    <mergeCell ref="A9:S9"/>
    <mergeCell ref="B10:B11"/>
    <mergeCell ref="G6:G7"/>
    <mergeCell ref="H6:H7"/>
    <mergeCell ref="I6:K6"/>
    <mergeCell ref="L6:Q6"/>
    <mergeCell ref="A1:S1"/>
    <mergeCell ref="A2:S2"/>
    <mergeCell ref="A3:S3"/>
    <mergeCell ref="A5:A7"/>
    <mergeCell ref="B5:B7"/>
    <mergeCell ref="C5:C7"/>
    <mergeCell ref="D5:D7"/>
    <mergeCell ref="E5:E7"/>
    <mergeCell ref="F5:F7"/>
    <mergeCell ref="G5:S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0"/>
  <sheetViews>
    <sheetView tabSelected="1" view="pageBreakPreview" zoomScaleSheetLayoutView="100" workbookViewId="0" topLeftCell="A1">
      <selection activeCell="I9" sqref="I9"/>
    </sheetView>
  </sheetViews>
  <sheetFormatPr defaultColWidth="9.00390625" defaultRowHeight="12.75"/>
  <cols>
    <col min="1" max="1" width="4.75390625" style="541" customWidth="1"/>
    <col min="2" max="2" width="26.00390625" style="541" customWidth="1"/>
    <col min="3" max="3" width="43.75390625" style="541" customWidth="1"/>
    <col min="4" max="4" width="8.625" style="542" customWidth="1"/>
    <col min="5" max="16384" width="9.125" style="481" customWidth="1"/>
  </cols>
  <sheetData>
    <row r="1" spans="1:4" ht="12.75">
      <c r="A1" s="730" t="s">
        <v>85</v>
      </c>
      <c r="B1" s="730"/>
      <c r="C1" s="730"/>
      <c r="D1" s="730"/>
    </row>
    <row r="2" spans="1:4" ht="12.75">
      <c r="A2" s="730" t="s">
        <v>13</v>
      </c>
      <c r="B2" s="730"/>
      <c r="C2" s="730"/>
      <c r="D2" s="730"/>
    </row>
    <row r="3" spans="1:4" ht="12.75">
      <c r="A3" s="730" t="s">
        <v>18</v>
      </c>
      <c r="B3" s="730"/>
      <c r="C3" s="730"/>
      <c r="D3" s="730"/>
    </row>
    <row r="4" spans="1:2" ht="13.5" thickBot="1">
      <c r="A4" s="540"/>
      <c r="B4" s="540"/>
    </row>
    <row r="5" spans="1:4" ht="12.75" customHeight="1">
      <c r="A5" s="731" t="s">
        <v>20</v>
      </c>
      <c r="B5" s="731" t="s">
        <v>83</v>
      </c>
      <c r="C5" s="731" t="s">
        <v>81</v>
      </c>
      <c r="D5" s="734" t="s">
        <v>87</v>
      </c>
    </row>
    <row r="6" spans="1:4" ht="12.75">
      <c r="A6" s="732"/>
      <c r="B6" s="732"/>
      <c r="C6" s="732"/>
      <c r="D6" s="735"/>
    </row>
    <row r="7" spans="1:4" ht="13.5" thickBot="1">
      <c r="A7" s="733"/>
      <c r="B7" s="733"/>
      <c r="C7" s="733"/>
      <c r="D7" s="736"/>
    </row>
    <row r="8" spans="1:4" ht="13.5" thickBot="1">
      <c r="A8" s="543">
        <v>1</v>
      </c>
      <c r="B8" s="543">
        <v>2</v>
      </c>
      <c r="C8" s="544">
        <v>4</v>
      </c>
      <c r="D8" s="545">
        <v>5</v>
      </c>
    </row>
    <row r="9" spans="1:4" ht="13.5" thickBot="1">
      <c r="A9" s="748" t="s">
        <v>137</v>
      </c>
      <c r="B9" s="725"/>
      <c r="C9" s="725"/>
      <c r="D9" s="725"/>
    </row>
    <row r="10" spans="1:4" ht="12.75">
      <c r="A10" s="737">
        <v>1</v>
      </c>
      <c r="B10" s="737" t="s">
        <v>71</v>
      </c>
      <c r="C10" s="482" t="s">
        <v>46</v>
      </c>
      <c r="D10" s="546">
        <f>2.18*2</f>
        <v>4.36</v>
      </c>
    </row>
    <row r="11" spans="1:4" ht="12.75">
      <c r="A11" s="745"/>
      <c r="B11" s="745"/>
      <c r="C11" s="483" t="s">
        <v>26</v>
      </c>
      <c r="D11" s="547">
        <v>1.2</v>
      </c>
    </row>
    <row r="12" spans="1:4" ht="12.75">
      <c r="A12" s="745"/>
      <c r="B12" s="745"/>
      <c r="C12" s="483" t="s">
        <v>33</v>
      </c>
      <c r="D12" s="547">
        <v>3.5</v>
      </c>
    </row>
    <row r="13" spans="1:4" ht="12.75">
      <c r="A13" s="745"/>
      <c r="B13" s="745"/>
      <c r="C13" s="512" t="s">
        <v>78</v>
      </c>
      <c r="D13" s="548">
        <v>2</v>
      </c>
    </row>
    <row r="14" spans="1:4" ht="39" thickBot="1">
      <c r="A14" s="745"/>
      <c r="B14" s="745"/>
      <c r="C14" s="487" t="s">
        <v>100</v>
      </c>
      <c r="D14" s="488" t="s">
        <v>101</v>
      </c>
    </row>
    <row r="15" spans="1:4" ht="12.75">
      <c r="A15" s="737">
        <v>2</v>
      </c>
      <c r="B15" s="737" t="s">
        <v>119</v>
      </c>
      <c r="C15" s="489" t="s">
        <v>51</v>
      </c>
      <c r="D15" s="549">
        <v>0.4</v>
      </c>
    </row>
    <row r="16" spans="1:4" ht="12.75">
      <c r="A16" s="745"/>
      <c r="B16" s="745"/>
      <c r="C16" s="490" t="s">
        <v>64</v>
      </c>
      <c r="D16" s="550">
        <v>0.66</v>
      </c>
    </row>
    <row r="17" spans="1:4" ht="12.75">
      <c r="A17" s="745"/>
      <c r="B17" s="745"/>
      <c r="C17" s="491" t="s">
        <v>99</v>
      </c>
      <c r="D17" s="492">
        <v>0.51</v>
      </c>
    </row>
    <row r="18" spans="1:4" ht="13.5" thickBot="1">
      <c r="A18" s="738"/>
      <c r="B18" s="738"/>
      <c r="C18" s="493" t="s">
        <v>113</v>
      </c>
      <c r="D18" s="551">
        <v>1.2</v>
      </c>
    </row>
    <row r="19" spans="1:4" ht="12.75">
      <c r="A19" s="737">
        <v>3</v>
      </c>
      <c r="B19" s="737" t="s">
        <v>72</v>
      </c>
      <c r="C19" s="494" t="s">
        <v>47</v>
      </c>
      <c r="D19" s="546">
        <f>3.17*2</f>
        <v>6.34</v>
      </c>
    </row>
    <row r="20" spans="1:4" ht="12.75">
      <c r="A20" s="745"/>
      <c r="B20" s="745"/>
      <c r="C20" s="495" t="s">
        <v>57</v>
      </c>
      <c r="D20" s="552">
        <v>1.8</v>
      </c>
    </row>
    <row r="21" spans="1:4" ht="12.75">
      <c r="A21" s="745"/>
      <c r="B21" s="745"/>
      <c r="C21" s="490" t="s">
        <v>61</v>
      </c>
      <c r="D21" s="550">
        <v>2.2</v>
      </c>
    </row>
    <row r="22" spans="1:4" ht="12.75">
      <c r="A22" s="745"/>
      <c r="B22" s="745"/>
      <c r="C22" s="496" t="s">
        <v>25</v>
      </c>
      <c r="D22" s="553">
        <v>1.6</v>
      </c>
    </row>
    <row r="23" spans="1:4" ht="12.75">
      <c r="A23" s="745"/>
      <c r="B23" s="745"/>
      <c r="C23" s="496" t="s">
        <v>14</v>
      </c>
      <c r="D23" s="554">
        <v>2.9</v>
      </c>
    </row>
    <row r="24" spans="1:4" ht="12.75">
      <c r="A24" s="745"/>
      <c r="B24" s="745"/>
      <c r="C24" s="497" t="s">
        <v>115</v>
      </c>
      <c r="D24" s="555"/>
    </row>
    <row r="25" spans="1:4" ht="12.75">
      <c r="A25" s="745"/>
      <c r="B25" s="745"/>
      <c r="C25" s="498" t="s">
        <v>92</v>
      </c>
      <c r="D25" s="556">
        <v>2.24</v>
      </c>
    </row>
    <row r="26" spans="1:4" ht="12.75">
      <c r="A26" s="745"/>
      <c r="B26" s="745"/>
      <c r="C26" s="497" t="s">
        <v>94</v>
      </c>
      <c r="D26" s="555">
        <v>5.4</v>
      </c>
    </row>
    <row r="27" spans="1:4" ht="12.75">
      <c r="A27" s="745"/>
      <c r="B27" s="745"/>
      <c r="C27" s="496" t="s">
        <v>27</v>
      </c>
      <c r="D27" s="554">
        <v>1.63</v>
      </c>
    </row>
    <row r="28" spans="1:4" ht="12.75">
      <c r="A28" s="745"/>
      <c r="B28" s="745"/>
      <c r="C28" s="498" t="s">
        <v>42</v>
      </c>
      <c r="D28" s="559"/>
    </row>
    <row r="29" spans="1:4" ht="25.5">
      <c r="A29" s="745"/>
      <c r="B29" s="745"/>
      <c r="C29" s="498" t="s">
        <v>116</v>
      </c>
      <c r="D29" s="556"/>
    </row>
    <row r="30" spans="1:4" ht="26.25" thickBot="1">
      <c r="A30" s="738"/>
      <c r="B30" s="738"/>
      <c r="C30" s="499" t="s">
        <v>79</v>
      </c>
      <c r="D30" s="560"/>
    </row>
    <row r="31" spans="1:4" ht="25.5">
      <c r="A31" s="745">
        <v>4</v>
      </c>
      <c r="B31" s="745" t="s">
        <v>44</v>
      </c>
      <c r="C31" s="500" t="s">
        <v>70</v>
      </c>
      <c r="D31" s="561">
        <v>1.1</v>
      </c>
    </row>
    <row r="32" spans="1:4" ht="12.75">
      <c r="A32" s="745"/>
      <c r="B32" s="745"/>
      <c r="C32" s="501" t="s">
        <v>50</v>
      </c>
      <c r="D32" s="562">
        <v>0.8</v>
      </c>
    </row>
    <row r="33" spans="1:4" ht="12.75">
      <c r="A33" s="745"/>
      <c r="B33" s="745"/>
      <c r="C33" s="490" t="s">
        <v>63</v>
      </c>
      <c r="D33" s="563">
        <v>4.6</v>
      </c>
    </row>
    <row r="34" spans="1:4" ht="25.5">
      <c r="A34" s="745"/>
      <c r="B34" s="745"/>
      <c r="C34" s="498" t="s">
        <v>118</v>
      </c>
      <c r="D34" s="556">
        <v>1.12</v>
      </c>
    </row>
    <row r="35" spans="1:4" ht="13.5" thickBot="1">
      <c r="A35" s="745"/>
      <c r="B35" s="745"/>
      <c r="C35" s="502" t="s">
        <v>22</v>
      </c>
      <c r="D35" s="564">
        <v>3</v>
      </c>
    </row>
    <row r="36" spans="1:4" ht="12.75">
      <c r="A36" s="737">
        <v>5</v>
      </c>
      <c r="B36" s="737" t="s">
        <v>43</v>
      </c>
      <c r="C36" s="503" t="s">
        <v>48</v>
      </c>
      <c r="D36" s="565">
        <v>1.42</v>
      </c>
    </row>
    <row r="37" spans="1:4" ht="12.75">
      <c r="A37" s="745"/>
      <c r="B37" s="745"/>
      <c r="C37" s="498" t="s">
        <v>95</v>
      </c>
      <c r="D37" s="566">
        <v>1.24</v>
      </c>
    </row>
    <row r="38" spans="1:4" ht="13.5" thickBot="1">
      <c r="A38" s="738"/>
      <c r="B38" s="738"/>
      <c r="C38" s="504" t="s">
        <v>49</v>
      </c>
      <c r="D38" s="567">
        <v>4.2</v>
      </c>
    </row>
    <row r="39" spans="1:4" ht="12.75">
      <c r="A39" s="737">
        <v>6</v>
      </c>
      <c r="B39" s="737" t="s">
        <v>1</v>
      </c>
      <c r="C39" s="489" t="s">
        <v>52</v>
      </c>
      <c r="D39" s="568">
        <v>4.4</v>
      </c>
    </row>
    <row r="40" spans="1:4" ht="12.75">
      <c r="A40" s="745"/>
      <c r="B40" s="745"/>
      <c r="C40" s="496" t="s">
        <v>114</v>
      </c>
      <c r="D40" s="569">
        <v>4.2</v>
      </c>
    </row>
    <row r="41" spans="1:4" ht="12.75">
      <c r="A41" s="745"/>
      <c r="B41" s="745"/>
      <c r="C41" s="496" t="s">
        <v>58</v>
      </c>
      <c r="D41" s="570">
        <v>2</v>
      </c>
    </row>
    <row r="42" spans="1:4" ht="12.75">
      <c r="A42" s="745"/>
      <c r="B42" s="745"/>
      <c r="C42" s="496" t="s">
        <v>68</v>
      </c>
      <c r="D42" s="569">
        <v>1.3</v>
      </c>
    </row>
    <row r="43" spans="1:4" ht="12.75">
      <c r="A43" s="745"/>
      <c r="B43" s="745"/>
      <c r="C43" s="496" t="s">
        <v>39</v>
      </c>
      <c r="D43" s="571">
        <v>1.3</v>
      </c>
    </row>
    <row r="44" spans="1:4" ht="12.75">
      <c r="A44" s="745"/>
      <c r="B44" s="745"/>
      <c r="C44" s="496" t="s">
        <v>29</v>
      </c>
      <c r="D44" s="553">
        <v>1.74</v>
      </c>
    </row>
    <row r="45" spans="1:4" ht="13.5" thickBot="1">
      <c r="A45" s="745"/>
      <c r="B45" s="745"/>
      <c r="C45" s="483" t="s">
        <v>40</v>
      </c>
      <c r="D45" s="572">
        <v>1.62</v>
      </c>
    </row>
    <row r="46" spans="1:4" ht="12.75">
      <c r="A46" s="737">
        <v>7</v>
      </c>
      <c r="B46" s="737" t="s">
        <v>0</v>
      </c>
      <c r="C46" s="505" t="s">
        <v>53</v>
      </c>
      <c r="D46" s="549">
        <v>1.7</v>
      </c>
    </row>
    <row r="47" spans="1:4" ht="13.5" thickBot="1">
      <c r="A47" s="738"/>
      <c r="B47" s="738"/>
      <c r="C47" s="506" t="s">
        <v>56</v>
      </c>
      <c r="D47" s="573">
        <v>0.9</v>
      </c>
    </row>
    <row r="48" spans="1:4" ht="12.75">
      <c r="A48" s="745">
        <v>8</v>
      </c>
      <c r="B48" s="745" t="s">
        <v>73</v>
      </c>
      <c r="C48" s="507" t="s">
        <v>54</v>
      </c>
      <c r="D48" s="574">
        <v>2.9</v>
      </c>
    </row>
    <row r="49" spans="1:4" ht="12.75">
      <c r="A49" s="745"/>
      <c r="B49" s="745"/>
      <c r="C49" s="490" t="s">
        <v>60</v>
      </c>
      <c r="D49" s="575">
        <v>2.1</v>
      </c>
    </row>
    <row r="50" spans="1:4" ht="12.75">
      <c r="A50" s="745"/>
      <c r="B50" s="745"/>
      <c r="C50" s="496" t="s">
        <v>32</v>
      </c>
      <c r="D50" s="554">
        <v>1.98</v>
      </c>
    </row>
    <row r="51" spans="1:4" ht="12.75">
      <c r="A51" s="745"/>
      <c r="B51" s="745"/>
      <c r="C51" s="508" t="s">
        <v>37</v>
      </c>
      <c r="D51" s="576">
        <v>1.2</v>
      </c>
    </row>
    <row r="52" spans="1:4" ht="25.5">
      <c r="A52" s="745"/>
      <c r="B52" s="745"/>
      <c r="C52" s="512" t="s">
        <v>93</v>
      </c>
      <c r="D52" s="556">
        <v>3.46</v>
      </c>
    </row>
    <row r="53" spans="1:4" ht="13.5" thickBot="1">
      <c r="A53" s="745"/>
      <c r="B53" s="745"/>
      <c r="C53" s="509" t="s">
        <v>36</v>
      </c>
      <c r="D53" s="577">
        <v>1.2</v>
      </c>
    </row>
    <row r="54" spans="1:4" ht="12.75">
      <c r="A54" s="737">
        <v>9</v>
      </c>
      <c r="B54" s="737" t="s">
        <v>17</v>
      </c>
      <c r="C54" s="489" t="s">
        <v>55</v>
      </c>
      <c r="D54" s="578">
        <v>9</v>
      </c>
    </row>
    <row r="55" spans="1:4" ht="13.5" thickBot="1">
      <c r="A55" s="738"/>
      <c r="B55" s="738"/>
      <c r="C55" s="506" t="s">
        <v>59</v>
      </c>
      <c r="D55" s="579">
        <v>5.5</v>
      </c>
    </row>
    <row r="56" spans="1:4" ht="12.75">
      <c r="A56" s="737">
        <v>10</v>
      </c>
      <c r="B56" s="737" t="s">
        <v>21</v>
      </c>
      <c r="C56" s="510" t="s">
        <v>24</v>
      </c>
      <c r="D56" s="549">
        <v>1.4</v>
      </c>
    </row>
    <row r="57" spans="1:4" ht="25.5">
      <c r="A57" s="745"/>
      <c r="B57" s="745"/>
      <c r="C57" s="511" t="s">
        <v>62</v>
      </c>
      <c r="D57" s="580">
        <v>6.5</v>
      </c>
    </row>
    <row r="58" spans="1:4" ht="12.75">
      <c r="A58" s="745"/>
      <c r="B58" s="745"/>
      <c r="C58" s="512" t="s">
        <v>66</v>
      </c>
      <c r="D58" s="552">
        <v>2.6</v>
      </c>
    </row>
    <row r="59" spans="1:4" ht="12.75">
      <c r="A59" s="745"/>
      <c r="B59" s="745"/>
      <c r="C59" s="513" t="s">
        <v>23</v>
      </c>
      <c r="D59" s="553">
        <v>2.3</v>
      </c>
    </row>
    <row r="60" spans="1:4" ht="12.75">
      <c r="A60" s="745"/>
      <c r="B60" s="745"/>
      <c r="C60" s="513" t="s">
        <v>28</v>
      </c>
      <c r="D60" s="554">
        <v>2.4</v>
      </c>
    </row>
    <row r="61" spans="1:4" ht="13.5" thickBot="1">
      <c r="A61" s="738"/>
      <c r="B61" s="738"/>
      <c r="C61" s="514" t="s">
        <v>67</v>
      </c>
      <c r="D61" s="560">
        <v>1.2</v>
      </c>
    </row>
    <row r="62" spans="1:4" ht="12.75">
      <c r="A62" s="737">
        <v>11</v>
      </c>
      <c r="B62" s="737" t="s">
        <v>91</v>
      </c>
      <c r="C62" s="515" t="s">
        <v>65</v>
      </c>
      <c r="D62" s="581">
        <v>1.2</v>
      </c>
    </row>
    <row r="63" spans="1:4" ht="12.75">
      <c r="A63" s="745"/>
      <c r="B63" s="745"/>
      <c r="C63" s="516" t="s">
        <v>69</v>
      </c>
      <c r="D63" s="582">
        <v>3.35</v>
      </c>
    </row>
    <row r="64" spans="1:4" ht="13.5" thickBot="1">
      <c r="A64" s="738"/>
      <c r="B64" s="738"/>
      <c r="C64" s="517" t="s">
        <v>30</v>
      </c>
      <c r="D64" s="583">
        <v>3.2</v>
      </c>
    </row>
    <row r="65" spans="1:4" ht="12.75">
      <c r="A65" s="737">
        <v>12</v>
      </c>
      <c r="B65" s="737" t="s">
        <v>97</v>
      </c>
      <c r="C65" s="518" t="s">
        <v>38</v>
      </c>
      <c r="D65" s="584">
        <v>4.83</v>
      </c>
    </row>
    <row r="66" spans="1:4" ht="25.5">
      <c r="A66" s="745"/>
      <c r="B66" s="745"/>
      <c r="C66" s="519" t="s">
        <v>117</v>
      </c>
      <c r="D66" s="585">
        <v>1.1</v>
      </c>
    </row>
    <row r="67" spans="1:4" ht="12.75">
      <c r="A67" s="745"/>
      <c r="B67" s="745"/>
      <c r="C67" s="512" t="s">
        <v>96</v>
      </c>
      <c r="D67" s="556">
        <v>1.2</v>
      </c>
    </row>
    <row r="68" spans="1:4" ht="13.5" thickBot="1">
      <c r="A68" s="738"/>
      <c r="B68" s="738"/>
      <c r="C68" s="499" t="s">
        <v>80</v>
      </c>
      <c r="D68" s="586">
        <v>2.34</v>
      </c>
    </row>
    <row r="69" spans="1:4" ht="12.75">
      <c r="A69" s="739">
        <v>13</v>
      </c>
      <c r="B69" s="737" t="s">
        <v>15</v>
      </c>
      <c r="C69" s="520" t="s">
        <v>34</v>
      </c>
      <c r="D69" s="588">
        <v>1.42</v>
      </c>
    </row>
    <row r="70" spans="1:4" ht="12.75">
      <c r="A70" s="747"/>
      <c r="B70" s="745"/>
      <c r="C70" s="521" t="s">
        <v>35</v>
      </c>
      <c r="D70" s="553">
        <v>1.5</v>
      </c>
    </row>
    <row r="71" spans="1:4" ht="13.5" thickBot="1">
      <c r="A71" s="740"/>
      <c r="B71" s="738"/>
      <c r="C71" s="517" t="s">
        <v>41</v>
      </c>
      <c r="D71" s="560">
        <v>0.75</v>
      </c>
    </row>
    <row r="72" spans="1:4" ht="13.5" thickBot="1">
      <c r="A72" s="589">
        <v>14</v>
      </c>
      <c r="B72" s="590" t="s">
        <v>45</v>
      </c>
      <c r="C72" s="522" t="s">
        <v>31</v>
      </c>
      <c r="D72" s="591">
        <v>1.53</v>
      </c>
    </row>
    <row r="73" spans="1:4" ht="13.5" thickBot="1">
      <c r="A73" s="587"/>
      <c r="B73" s="592" t="s">
        <v>88</v>
      </c>
      <c r="C73" s="593"/>
      <c r="D73" s="594">
        <f>SUM(D10:D72)</f>
        <v>140.74</v>
      </c>
    </row>
    <row r="74" spans="1:4" ht="13.5" thickBot="1">
      <c r="A74" s="748" t="s">
        <v>82</v>
      </c>
      <c r="B74" s="725"/>
      <c r="C74" s="725"/>
      <c r="D74" s="725"/>
    </row>
    <row r="75" spans="1:4" ht="12.75">
      <c r="A75" s="749">
        <v>1</v>
      </c>
      <c r="B75" s="745" t="s">
        <v>74</v>
      </c>
      <c r="C75" s="595" t="s">
        <v>9</v>
      </c>
      <c r="D75" s="596">
        <v>2.4</v>
      </c>
    </row>
    <row r="76" spans="1:4" ht="12.75">
      <c r="A76" s="749"/>
      <c r="B76" s="745"/>
      <c r="C76" s="597" t="s">
        <v>8</v>
      </c>
      <c r="D76" s="556">
        <v>6.6</v>
      </c>
    </row>
    <row r="77" spans="1:4" ht="13.5" thickBot="1">
      <c r="A77" s="749"/>
      <c r="B77" s="745"/>
      <c r="C77" s="598" t="s">
        <v>7</v>
      </c>
      <c r="D77" s="599">
        <v>3.07</v>
      </c>
    </row>
    <row r="78" spans="1:4" ht="12.75">
      <c r="A78" s="746">
        <v>2</v>
      </c>
      <c r="B78" s="737" t="s">
        <v>73</v>
      </c>
      <c r="C78" s="600" t="s">
        <v>7</v>
      </c>
      <c r="D78" s="601">
        <v>2.64</v>
      </c>
    </row>
    <row r="79" spans="1:4" ht="13.5" thickBot="1">
      <c r="A79" s="744"/>
      <c r="B79" s="738"/>
      <c r="C79" s="603" t="s">
        <v>10</v>
      </c>
      <c r="D79" s="604">
        <v>2.01</v>
      </c>
    </row>
    <row r="80" spans="1:4" ht="13.5" thickBot="1">
      <c r="A80" s="591"/>
      <c r="B80" s="592" t="s">
        <v>88</v>
      </c>
      <c r="C80" s="605"/>
      <c r="D80" s="606">
        <f>SUM(D75:D79)</f>
        <v>16.72</v>
      </c>
    </row>
    <row r="81" spans="1:4" ht="13.5" thickBot="1">
      <c r="A81" s="715" t="s">
        <v>11</v>
      </c>
      <c r="B81" s="716"/>
      <c r="C81" s="716"/>
      <c r="D81" s="716"/>
    </row>
    <row r="82" spans="1:4" ht="26.25" thickBot="1">
      <c r="A82" s="591">
        <v>1</v>
      </c>
      <c r="B82" s="589" t="s">
        <v>44</v>
      </c>
      <c r="C82" s="607" t="s">
        <v>5</v>
      </c>
      <c r="D82" s="589">
        <v>3.85</v>
      </c>
    </row>
    <row r="83" spans="1:4" ht="12.75">
      <c r="A83" s="746">
        <v>2</v>
      </c>
      <c r="B83" s="737" t="s">
        <v>43</v>
      </c>
      <c r="C83" s="595" t="s">
        <v>12</v>
      </c>
      <c r="D83" s="596">
        <v>0.7</v>
      </c>
    </row>
    <row r="84" spans="1:4" ht="12.75">
      <c r="A84" s="743"/>
      <c r="B84" s="745"/>
      <c r="C84" s="597" t="s">
        <v>2</v>
      </c>
      <c r="D84" s="548">
        <v>2</v>
      </c>
    </row>
    <row r="85" spans="1:4" ht="13.5" thickBot="1">
      <c r="A85" s="744"/>
      <c r="B85" s="738"/>
      <c r="C85" s="603" t="s">
        <v>3</v>
      </c>
      <c r="D85" s="604">
        <v>1.1</v>
      </c>
    </row>
    <row r="86" spans="1:4" ht="12.75">
      <c r="A86" s="743">
        <v>3</v>
      </c>
      <c r="B86" s="745" t="s">
        <v>1</v>
      </c>
      <c r="C86" s="608" t="s">
        <v>4</v>
      </c>
      <c r="D86" s="609">
        <v>3.4</v>
      </c>
    </row>
    <row r="87" spans="1:4" ht="13.5" thickBot="1">
      <c r="A87" s="744"/>
      <c r="B87" s="738"/>
      <c r="C87" s="603" t="s">
        <v>6</v>
      </c>
      <c r="D87" s="604">
        <v>2.1</v>
      </c>
    </row>
    <row r="88" spans="1:4" ht="13.5" thickBot="1">
      <c r="A88" s="715" t="s">
        <v>88</v>
      </c>
      <c r="B88" s="716"/>
      <c r="C88" s="610"/>
      <c r="D88" s="611">
        <f>SUM(D82:D87)</f>
        <v>13.15</v>
      </c>
    </row>
    <row r="89" spans="1:4" ht="13.5" thickBot="1">
      <c r="A89" s="715" t="s">
        <v>106</v>
      </c>
      <c r="B89" s="716"/>
      <c r="C89" s="716"/>
      <c r="D89" s="716"/>
    </row>
    <row r="90" spans="1:4" ht="13.5" thickBot="1">
      <c r="A90" s="737">
        <v>1</v>
      </c>
      <c r="B90" s="739" t="s">
        <v>74</v>
      </c>
      <c r="C90" s="505" t="s">
        <v>105</v>
      </c>
      <c r="D90" s="612"/>
    </row>
    <row r="91" spans="1:4" ht="13.5" thickBot="1">
      <c r="A91" s="738"/>
      <c r="B91" s="740"/>
      <c r="C91" s="505" t="s">
        <v>105</v>
      </c>
      <c r="D91" s="613"/>
    </row>
    <row r="92" spans="1:4" ht="12.75">
      <c r="A92" s="741">
        <v>2</v>
      </c>
      <c r="B92" s="741" t="s">
        <v>1</v>
      </c>
      <c r="C92" s="505" t="s">
        <v>105</v>
      </c>
      <c r="D92" s="614"/>
    </row>
    <row r="93" spans="1:4" ht="13.5" thickBot="1">
      <c r="A93" s="742"/>
      <c r="B93" s="742"/>
      <c r="C93" s="616" t="s">
        <v>107</v>
      </c>
      <c r="D93" s="613"/>
    </row>
    <row r="94" spans="1:4" ht="13.5" thickBot="1">
      <c r="A94" s="602"/>
      <c r="B94" s="602"/>
      <c r="C94" s="617"/>
      <c r="D94" s="602"/>
    </row>
    <row r="95" spans="1:4" ht="13.5" thickBot="1">
      <c r="A95" s="618"/>
      <c r="B95" s="606" t="s">
        <v>88</v>
      </c>
      <c r="C95" s="619"/>
      <c r="D95" s="620"/>
    </row>
    <row r="96" spans="1:4" ht="26.25" thickBot="1">
      <c r="A96" s="621"/>
      <c r="B96" s="622" t="s">
        <v>108</v>
      </c>
      <c r="C96" s="623"/>
      <c r="D96" s="624">
        <v>16.72</v>
      </c>
    </row>
    <row r="97" spans="1:4" ht="26.25" thickBot="1">
      <c r="A97" s="623"/>
      <c r="B97" s="625" t="s">
        <v>109</v>
      </c>
      <c r="C97" s="623"/>
      <c r="D97" s="624">
        <v>13.15</v>
      </c>
    </row>
    <row r="98" spans="1:4" ht="26.25" thickBot="1">
      <c r="A98" s="623"/>
      <c r="B98" s="625" t="s">
        <v>110</v>
      </c>
      <c r="C98" s="623"/>
      <c r="D98" s="624">
        <f>SUM(D73)</f>
        <v>140.74</v>
      </c>
    </row>
    <row r="99" spans="1:4" ht="26.25" thickBot="1">
      <c r="A99" s="623"/>
      <c r="B99" s="622" t="s">
        <v>111</v>
      </c>
      <c r="C99" s="623"/>
      <c r="D99" s="624"/>
    </row>
    <row r="100" spans="1:4" ht="13.5" thickBot="1">
      <c r="A100" s="626"/>
      <c r="B100" s="625" t="s">
        <v>112</v>
      </c>
      <c r="C100" s="623"/>
      <c r="D100" s="627">
        <f>SUM(D96,D97,D98)</f>
        <v>170.61</v>
      </c>
    </row>
    <row r="102" ht="12.75">
      <c r="D102" s="628" t="s">
        <v>102</v>
      </c>
    </row>
    <row r="103" spans="1:4" ht="12.75">
      <c r="A103" s="730" t="s">
        <v>85</v>
      </c>
      <c r="B103" s="730"/>
      <c r="C103" s="730"/>
      <c r="D103" s="730"/>
    </row>
    <row r="104" spans="1:4" ht="12.75">
      <c r="A104" s="730" t="s">
        <v>13</v>
      </c>
      <c r="B104" s="730"/>
      <c r="C104" s="730"/>
      <c r="D104" s="730"/>
    </row>
    <row r="105" spans="1:4" ht="12.75">
      <c r="A105" s="730" t="s">
        <v>139</v>
      </c>
      <c r="B105" s="730"/>
      <c r="C105" s="730"/>
      <c r="D105" s="730"/>
    </row>
    <row r="106" spans="1:4" ht="13.5" thickBot="1">
      <c r="A106" s="539"/>
      <c r="B106" s="539"/>
      <c r="C106" s="539"/>
      <c r="D106" s="539"/>
    </row>
    <row r="107" spans="1:4" ht="12.75" customHeight="1">
      <c r="A107" s="731" t="s">
        <v>20</v>
      </c>
      <c r="B107" s="731" t="s">
        <v>83</v>
      </c>
      <c r="C107" s="731" t="s">
        <v>81</v>
      </c>
      <c r="D107" s="734" t="s">
        <v>140</v>
      </c>
    </row>
    <row r="108" spans="1:4" ht="12.75">
      <c r="A108" s="732"/>
      <c r="B108" s="732"/>
      <c r="C108" s="732"/>
      <c r="D108" s="735"/>
    </row>
    <row r="109" spans="1:4" ht="13.5" thickBot="1">
      <c r="A109" s="733"/>
      <c r="B109" s="733"/>
      <c r="C109" s="733"/>
      <c r="D109" s="736"/>
    </row>
    <row r="110" spans="1:4" ht="13.5" thickBot="1">
      <c r="A110" s="543">
        <v>1</v>
      </c>
      <c r="B110" s="543">
        <v>2</v>
      </c>
      <c r="C110" s="544">
        <v>4</v>
      </c>
      <c r="D110" s="545">
        <v>5</v>
      </c>
    </row>
    <row r="111" spans="1:4" ht="13.5" thickBot="1">
      <c r="A111" s="723" t="s">
        <v>153</v>
      </c>
      <c r="B111" s="724"/>
      <c r="C111" s="725"/>
      <c r="D111" s="725"/>
    </row>
    <row r="112" spans="1:4" ht="12.75">
      <c r="A112" s="629">
        <v>1</v>
      </c>
      <c r="B112" s="726" t="s">
        <v>1</v>
      </c>
      <c r="C112" s="630" t="s">
        <v>154</v>
      </c>
      <c r="D112" s="631">
        <v>4.65</v>
      </c>
    </row>
    <row r="113" spans="1:4" ht="12.75">
      <c r="A113" s="632">
        <v>2</v>
      </c>
      <c r="B113" s="727"/>
      <c r="C113" s="633" t="s">
        <v>155</v>
      </c>
      <c r="D113" s="634">
        <v>4.24</v>
      </c>
    </row>
    <row r="114" spans="1:4" ht="12.75">
      <c r="A114" s="629">
        <v>3</v>
      </c>
      <c r="B114" s="465" t="s">
        <v>73</v>
      </c>
      <c r="C114" s="464" t="s">
        <v>156</v>
      </c>
      <c r="D114" s="465">
        <v>5.03</v>
      </c>
    </row>
    <row r="115" spans="1:4" ht="25.5">
      <c r="A115" s="629">
        <v>4</v>
      </c>
      <c r="B115" s="465" t="s">
        <v>157</v>
      </c>
      <c r="C115" s="464" t="s">
        <v>158</v>
      </c>
      <c r="D115" s="635">
        <v>4.47</v>
      </c>
    </row>
    <row r="116" spans="1:4" ht="13.5" thickBot="1">
      <c r="A116" s="636"/>
      <c r="B116" s="637"/>
      <c r="C116" s="460" t="s">
        <v>159</v>
      </c>
      <c r="D116" s="461">
        <f>SUM(D112:D115)</f>
        <v>18.39</v>
      </c>
    </row>
    <row r="117" spans="1:4" ht="13.5" thickBot="1">
      <c r="A117" s="728" t="s">
        <v>11</v>
      </c>
      <c r="B117" s="729"/>
      <c r="C117" s="729"/>
      <c r="D117" s="729"/>
    </row>
    <row r="118" spans="1:4" ht="25.5">
      <c r="A118" s="638">
        <v>1</v>
      </c>
      <c r="B118" s="639" t="s">
        <v>1</v>
      </c>
      <c r="C118" s="643" t="s">
        <v>160</v>
      </c>
      <c r="D118" s="644">
        <v>2.94</v>
      </c>
    </row>
    <row r="119" spans="1:4" ht="12.75">
      <c r="A119" s="645">
        <v>2</v>
      </c>
      <c r="B119" s="465" t="s">
        <v>161</v>
      </c>
      <c r="C119" s="464" t="s">
        <v>162</v>
      </c>
      <c r="D119" s="465">
        <v>2.47</v>
      </c>
    </row>
    <row r="120" spans="1:4" ht="12.75">
      <c r="A120" s="629">
        <v>3</v>
      </c>
      <c r="B120" s="465" t="s">
        <v>163</v>
      </c>
      <c r="C120" s="464" t="s">
        <v>164</v>
      </c>
      <c r="D120" s="465">
        <v>1.4</v>
      </c>
    </row>
    <row r="121" spans="1:4" ht="12.75">
      <c r="A121" s="629">
        <v>4</v>
      </c>
      <c r="B121" s="465" t="s">
        <v>165</v>
      </c>
      <c r="C121" s="464" t="s">
        <v>166</v>
      </c>
      <c r="D121" s="646">
        <v>3.5</v>
      </c>
    </row>
    <row r="122" spans="1:4" ht="13.5" thickBot="1">
      <c r="A122" s="647"/>
      <c r="B122" s="637"/>
      <c r="C122" s="648" t="s">
        <v>159</v>
      </c>
      <c r="D122" s="649">
        <f>SUM(D118:D121)</f>
        <v>10.31</v>
      </c>
    </row>
    <row r="123" spans="1:4" ht="13.5" thickBot="1">
      <c r="A123" s="728" t="s">
        <v>137</v>
      </c>
      <c r="B123" s="729"/>
      <c r="C123" s="729"/>
      <c r="D123" s="729"/>
    </row>
    <row r="124" spans="1:4" ht="12.75">
      <c r="A124" s="650">
        <v>1</v>
      </c>
      <c r="B124" s="712" t="s">
        <v>157</v>
      </c>
      <c r="C124" s="462" t="s">
        <v>167</v>
      </c>
      <c r="D124" s="651">
        <v>2.3</v>
      </c>
    </row>
    <row r="125" spans="1:4" ht="25.5">
      <c r="A125" s="645">
        <v>2</v>
      </c>
      <c r="B125" s="709"/>
      <c r="C125" s="463" t="s">
        <v>168</v>
      </c>
      <c r="D125" s="652">
        <v>4</v>
      </c>
    </row>
    <row r="126" spans="1:4" ht="12.75">
      <c r="A126" s="645">
        <v>3</v>
      </c>
      <c r="B126" s="709"/>
      <c r="C126" s="463" t="s">
        <v>169</v>
      </c>
      <c r="D126" s="652">
        <v>1.245</v>
      </c>
    </row>
    <row r="127" spans="1:4" ht="25.5">
      <c r="A127" s="645">
        <v>4</v>
      </c>
      <c r="B127" s="709"/>
      <c r="C127" s="463" t="s">
        <v>170</v>
      </c>
      <c r="D127" s="652">
        <v>1.4</v>
      </c>
    </row>
    <row r="128" spans="1:4" ht="12.75">
      <c r="A128" s="645">
        <v>5</v>
      </c>
      <c r="B128" s="709"/>
      <c r="C128" s="463" t="s">
        <v>171</v>
      </c>
      <c r="D128" s="652">
        <v>3.287</v>
      </c>
    </row>
    <row r="129" spans="1:4" ht="25.5">
      <c r="A129" s="629">
        <v>6</v>
      </c>
      <c r="B129" s="709"/>
      <c r="C129" s="463" t="s">
        <v>172</v>
      </c>
      <c r="D129" s="652">
        <v>0.8</v>
      </c>
    </row>
    <row r="130" spans="1:4" ht="12.75">
      <c r="A130" s="629">
        <v>7</v>
      </c>
      <c r="B130" s="709"/>
      <c r="C130" s="463" t="s">
        <v>173</v>
      </c>
      <c r="D130" s="652">
        <v>3.8</v>
      </c>
    </row>
    <row r="131" spans="1:4" ht="12.75">
      <c r="A131" s="629">
        <v>8</v>
      </c>
      <c r="B131" s="709"/>
      <c r="C131" s="463" t="s">
        <v>174</v>
      </c>
      <c r="D131" s="652">
        <v>4.2</v>
      </c>
    </row>
    <row r="132" spans="1:4" ht="12.75">
      <c r="A132" s="629">
        <v>9</v>
      </c>
      <c r="B132" s="709"/>
      <c r="C132" s="464" t="s">
        <v>175</v>
      </c>
      <c r="D132" s="465">
        <v>3.07</v>
      </c>
    </row>
    <row r="133" spans="1:4" ht="13.5" thickBot="1">
      <c r="A133" s="653"/>
      <c r="B133" s="713"/>
      <c r="C133" s="466" t="s">
        <v>176</v>
      </c>
      <c r="D133" s="467">
        <v>2</v>
      </c>
    </row>
    <row r="134" spans="1:4" ht="25.5">
      <c r="A134" s="654">
        <v>1</v>
      </c>
      <c r="B134" s="712" t="s">
        <v>1</v>
      </c>
      <c r="C134" s="655" t="s">
        <v>177</v>
      </c>
      <c r="D134" s="656">
        <v>2.3</v>
      </c>
    </row>
    <row r="135" spans="1:4" ht="12.75">
      <c r="A135" s="629">
        <v>2</v>
      </c>
      <c r="B135" s="709"/>
      <c r="C135" s="630" t="s">
        <v>178</v>
      </c>
      <c r="D135" s="657">
        <v>2.6</v>
      </c>
    </row>
    <row r="136" spans="1:4" ht="12.75">
      <c r="A136" s="658">
        <v>3</v>
      </c>
      <c r="B136" s="709"/>
      <c r="C136" s="630" t="s">
        <v>179</v>
      </c>
      <c r="D136" s="657">
        <v>2.8</v>
      </c>
    </row>
    <row r="137" spans="1:4" ht="25.5">
      <c r="A137" s="658">
        <v>4</v>
      </c>
      <c r="B137" s="709"/>
      <c r="C137" s="630" t="s">
        <v>180</v>
      </c>
      <c r="D137" s="657">
        <v>2</v>
      </c>
    </row>
    <row r="138" spans="1:4" ht="12.75">
      <c r="A138" s="658">
        <v>5</v>
      </c>
      <c r="B138" s="709"/>
      <c r="C138" s="630" t="s">
        <v>181</v>
      </c>
      <c r="D138" s="657">
        <v>1</v>
      </c>
    </row>
    <row r="139" spans="1:4" ht="12.75">
      <c r="A139" s="658">
        <v>6</v>
      </c>
      <c r="B139" s="709"/>
      <c r="C139" s="630" t="s">
        <v>182</v>
      </c>
      <c r="D139" s="657">
        <v>1.6</v>
      </c>
    </row>
    <row r="140" spans="1:4" ht="12.75">
      <c r="A140" s="658">
        <v>7</v>
      </c>
      <c r="B140" s="709"/>
      <c r="C140" s="630" t="s">
        <v>183</v>
      </c>
      <c r="D140" s="657">
        <v>5.6</v>
      </c>
    </row>
    <row r="141" spans="1:4" ht="25.5">
      <c r="A141" s="658">
        <v>8</v>
      </c>
      <c r="B141" s="709"/>
      <c r="C141" s="630" t="s">
        <v>184</v>
      </c>
      <c r="D141" s="657">
        <v>0.9</v>
      </c>
    </row>
    <row r="142" spans="1:4" ht="12.75">
      <c r="A142" s="658">
        <v>9</v>
      </c>
      <c r="B142" s="709"/>
      <c r="C142" s="630" t="s">
        <v>185</v>
      </c>
      <c r="D142" s="657">
        <v>1.2</v>
      </c>
    </row>
    <row r="143" spans="1:4" ht="12.75">
      <c r="A143" s="658">
        <v>10</v>
      </c>
      <c r="B143" s="709"/>
      <c r="C143" s="630" t="s">
        <v>186</v>
      </c>
      <c r="D143" s="657">
        <v>1</v>
      </c>
    </row>
    <row r="144" spans="1:4" ht="12.75">
      <c r="A144" s="658">
        <v>11</v>
      </c>
      <c r="B144" s="709"/>
      <c r="C144" s="630" t="s">
        <v>187</v>
      </c>
      <c r="D144" s="657">
        <v>2.4</v>
      </c>
    </row>
    <row r="145" spans="1:4" ht="12.75">
      <c r="A145" s="658">
        <v>12</v>
      </c>
      <c r="B145" s="709"/>
      <c r="C145" s="630" t="s">
        <v>188</v>
      </c>
      <c r="D145" s="657">
        <v>1.6</v>
      </c>
    </row>
    <row r="146" spans="1:4" ht="25.5">
      <c r="A146" s="658">
        <v>13</v>
      </c>
      <c r="B146" s="709"/>
      <c r="C146" s="630" t="s">
        <v>189</v>
      </c>
      <c r="D146" s="657">
        <v>1.3</v>
      </c>
    </row>
    <row r="147" spans="1:4" ht="25.5">
      <c r="A147" s="658">
        <v>14</v>
      </c>
      <c r="B147" s="709"/>
      <c r="C147" s="630" t="s">
        <v>190</v>
      </c>
      <c r="D147" s="657">
        <v>1.3</v>
      </c>
    </row>
    <row r="148" spans="1:4" ht="12.75">
      <c r="A148" s="658">
        <v>15</v>
      </c>
      <c r="B148" s="709"/>
      <c r="C148" s="633" t="s">
        <v>191</v>
      </c>
      <c r="D148" s="634">
        <v>0.36</v>
      </c>
    </row>
    <row r="149" spans="1:4" ht="12.75">
      <c r="A149" s="658">
        <v>16</v>
      </c>
      <c r="B149" s="709"/>
      <c r="C149" s="630" t="s">
        <v>192</v>
      </c>
      <c r="D149" s="631">
        <v>0.73</v>
      </c>
    </row>
    <row r="150" spans="1:4" ht="12.75">
      <c r="A150" s="658">
        <v>17</v>
      </c>
      <c r="B150" s="709"/>
      <c r="C150" s="630" t="s">
        <v>193</v>
      </c>
      <c r="D150" s="631">
        <v>0.65</v>
      </c>
    </row>
    <row r="151" spans="1:4" ht="12.75">
      <c r="A151" s="658">
        <v>18</v>
      </c>
      <c r="B151" s="709"/>
      <c r="C151" s="630" t="s">
        <v>194</v>
      </c>
      <c r="D151" s="631">
        <v>2.53</v>
      </c>
    </row>
    <row r="152" spans="1:4" ht="13.5" thickBot="1">
      <c r="A152" s="659">
        <v>19</v>
      </c>
      <c r="B152" s="713"/>
      <c r="C152" s="466" t="s">
        <v>195</v>
      </c>
      <c r="D152" s="467">
        <v>4.6</v>
      </c>
    </row>
    <row r="153" spans="1:4" ht="25.5">
      <c r="A153" s="660">
        <v>1</v>
      </c>
      <c r="B153" s="712" t="s">
        <v>73</v>
      </c>
      <c r="C153" s="475" t="s">
        <v>196</v>
      </c>
      <c r="D153" s="661">
        <v>1.6</v>
      </c>
    </row>
    <row r="154" spans="1:4" ht="12.75">
      <c r="A154" s="658">
        <v>2</v>
      </c>
      <c r="B154" s="709"/>
      <c r="C154" s="464" t="s">
        <v>197</v>
      </c>
      <c r="D154" s="465">
        <v>5.4</v>
      </c>
    </row>
    <row r="155" spans="1:4" ht="12.75">
      <c r="A155" s="658">
        <v>3</v>
      </c>
      <c r="B155" s="709"/>
      <c r="C155" s="464" t="s">
        <v>198</v>
      </c>
      <c r="D155" s="465">
        <v>6.9</v>
      </c>
    </row>
    <row r="156" spans="1:4" ht="12.75">
      <c r="A156" s="658">
        <v>4</v>
      </c>
      <c r="B156" s="709"/>
      <c r="C156" s="464" t="s">
        <v>199</v>
      </c>
      <c r="D156" s="465">
        <v>0.73</v>
      </c>
    </row>
    <row r="157" spans="1:4" ht="12.75">
      <c r="A157" s="658">
        <v>5</v>
      </c>
      <c r="B157" s="709"/>
      <c r="C157" s="464" t="s">
        <v>200</v>
      </c>
      <c r="D157" s="465">
        <v>10.79</v>
      </c>
    </row>
    <row r="158" spans="1:4" ht="12.75">
      <c r="A158" s="658">
        <v>6</v>
      </c>
      <c r="B158" s="709"/>
      <c r="C158" s="464" t="s">
        <v>201</v>
      </c>
      <c r="D158" s="465">
        <v>3.28</v>
      </c>
    </row>
    <row r="159" spans="1:4" ht="12.75">
      <c r="A159" s="658">
        <v>7</v>
      </c>
      <c r="B159" s="709"/>
      <c r="C159" s="464" t="s">
        <v>202</v>
      </c>
      <c r="D159" s="465">
        <v>3.38</v>
      </c>
    </row>
    <row r="160" spans="1:4" ht="12.75">
      <c r="A160" s="658">
        <v>8</v>
      </c>
      <c r="B160" s="709"/>
      <c r="C160" s="464" t="s">
        <v>203</v>
      </c>
      <c r="D160" s="465">
        <v>1.2</v>
      </c>
    </row>
    <row r="161" spans="1:4" ht="12.75">
      <c r="A161" s="658">
        <v>9</v>
      </c>
      <c r="B161" s="709"/>
      <c r="C161" s="464" t="s">
        <v>204</v>
      </c>
      <c r="D161" s="465">
        <v>0.285</v>
      </c>
    </row>
    <row r="162" spans="1:4" ht="12.75">
      <c r="A162" s="662">
        <v>10</v>
      </c>
      <c r="B162" s="709"/>
      <c r="C162" s="464" t="s">
        <v>205</v>
      </c>
      <c r="D162" s="465">
        <v>1.6</v>
      </c>
    </row>
    <row r="163" spans="1:4" ht="12.75">
      <c r="A163" s="662">
        <v>11</v>
      </c>
      <c r="B163" s="709"/>
      <c r="C163" s="464" t="s">
        <v>206</v>
      </c>
      <c r="D163" s="465">
        <v>2.7</v>
      </c>
    </row>
    <row r="164" spans="1:4" ht="13.5" thickBot="1">
      <c r="A164" s="663">
        <v>12</v>
      </c>
      <c r="B164" s="713"/>
      <c r="C164" s="466" t="s">
        <v>207</v>
      </c>
      <c r="D164" s="664">
        <v>0.4</v>
      </c>
    </row>
    <row r="165" spans="1:4" ht="12.75">
      <c r="A165" s="662">
        <v>1</v>
      </c>
      <c r="B165" s="712" t="s">
        <v>163</v>
      </c>
      <c r="C165" s="468" t="s">
        <v>208</v>
      </c>
      <c r="D165" s="469">
        <v>1</v>
      </c>
    </row>
    <row r="166" spans="1:4" ht="12.75">
      <c r="A166" s="665">
        <v>2</v>
      </c>
      <c r="B166" s="709"/>
      <c r="C166" s="464" t="s">
        <v>209</v>
      </c>
      <c r="D166" s="470">
        <v>2.5</v>
      </c>
    </row>
    <row r="167" spans="1:4" ht="12.75">
      <c r="A167" s="665">
        <v>3</v>
      </c>
      <c r="B167" s="709"/>
      <c r="C167" s="464" t="s">
        <v>210</v>
      </c>
      <c r="D167" s="470">
        <v>4</v>
      </c>
    </row>
    <row r="168" spans="1:4" ht="12.75">
      <c r="A168" s="665">
        <v>4</v>
      </c>
      <c r="B168" s="709"/>
      <c r="C168" s="464" t="s">
        <v>211</v>
      </c>
      <c r="D168" s="465">
        <v>0.2</v>
      </c>
    </row>
    <row r="169" spans="1:4" ht="12.75">
      <c r="A169" s="665">
        <v>5</v>
      </c>
      <c r="B169" s="709"/>
      <c r="C169" s="464" t="s">
        <v>212</v>
      </c>
      <c r="D169" s="470">
        <v>0.9</v>
      </c>
    </row>
    <row r="170" spans="1:4" ht="12.75">
      <c r="A170" s="665">
        <v>6</v>
      </c>
      <c r="B170" s="709"/>
      <c r="C170" s="464" t="s">
        <v>213</v>
      </c>
      <c r="D170" s="470">
        <v>2.7</v>
      </c>
    </row>
    <row r="171" spans="1:4" ht="12.75">
      <c r="A171" s="665">
        <v>7</v>
      </c>
      <c r="B171" s="709"/>
      <c r="C171" s="464" t="s">
        <v>214</v>
      </c>
      <c r="D171" s="470">
        <v>0.9</v>
      </c>
    </row>
    <row r="172" spans="1:4" ht="12.75">
      <c r="A172" s="665">
        <v>8</v>
      </c>
      <c r="B172" s="709"/>
      <c r="C172" s="464" t="s">
        <v>215</v>
      </c>
      <c r="D172" s="470">
        <v>1.4</v>
      </c>
    </row>
    <row r="173" spans="1:4" ht="12.75">
      <c r="A173" s="665">
        <v>9</v>
      </c>
      <c r="B173" s="709"/>
      <c r="C173" s="464" t="s">
        <v>216</v>
      </c>
      <c r="D173" s="470">
        <v>0.4</v>
      </c>
    </row>
    <row r="174" spans="1:4" ht="12.75">
      <c r="A174" s="665">
        <v>10</v>
      </c>
      <c r="B174" s="709"/>
      <c r="C174" s="464" t="s">
        <v>217</v>
      </c>
      <c r="D174" s="470">
        <v>0.2</v>
      </c>
    </row>
    <row r="175" spans="1:4" ht="12.75">
      <c r="A175" s="665">
        <v>11</v>
      </c>
      <c r="B175" s="709"/>
      <c r="C175" s="464" t="s">
        <v>218</v>
      </c>
      <c r="D175" s="470">
        <v>0.8</v>
      </c>
    </row>
    <row r="176" spans="1:4" ht="12.75">
      <c r="A176" s="665">
        <v>12</v>
      </c>
      <c r="B176" s="709"/>
      <c r="C176" s="464" t="s">
        <v>219</v>
      </c>
      <c r="D176" s="470">
        <v>1.5</v>
      </c>
    </row>
    <row r="177" spans="1:4" ht="12.75">
      <c r="A177" s="665">
        <v>13</v>
      </c>
      <c r="B177" s="709"/>
      <c r="C177" s="464" t="s">
        <v>220</v>
      </c>
      <c r="D177" s="470">
        <v>0.5</v>
      </c>
    </row>
    <row r="178" spans="1:4" ht="12.75">
      <c r="A178" s="629">
        <v>14</v>
      </c>
      <c r="B178" s="709"/>
      <c r="C178" s="464" t="s">
        <v>221</v>
      </c>
      <c r="D178" s="465">
        <v>0.73</v>
      </c>
    </row>
    <row r="179" spans="1:4" ht="13.5" thickBot="1">
      <c r="A179" s="632">
        <v>15</v>
      </c>
      <c r="B179" s="709"/>
      <c r="C179" s="471" t="s">
        <v>222</v>
      </c>
      <c r="D179" s="666">
        <v>0.75</v>
      </c>
    </row>
    <row r="180" spans="1:4" ht="12.75">
      <c r="A180" s="654">
        <v>1</v>
      </c>
      <c r="B180" s="712" t="s">
        <v>223</v>
      </c>
      <c r="C180" s="475" t="s">
        <v>224</v>
      </c>
      <c r="D180" s="667">
        <v>8</v>
      </c>
    </row>
    <row r="181" spans="1:4" ht="13.5" thickBot="1">
      <c r="A181" s="653">
        <v>2</v>
      </c>
      <c r="B181" s="713"/>
      <c r="C181" s="466" t="s">
        <v>225</v>
      </c>
      <c r="D181" s="668">
        <v>0.36</v>
      </c>
    </row>
    <row r="182" spans="1:4" ht="12.75">
      <c r="A182" s="559">
        <v>1</v>
      </c>
      <c r="B182" s="719" t="s">
        <v>226</v>
      </c>
      <c r="C182" s="464" t="s">
        <v>227</v>
      </c>
      <c r="D182" s="465">
        <v>2.5</v>
      </c>
    </row>
    <row r="183" spans="1:4" ht="12.75">
      <c r="A183" s="559">
        <v>2</v>
      </c>
      <c r="B183" s="719"/>
      <c r="C183" s="464" t="s">
        <v>228</v>
      </c>
      <c r="D183" s="465">
        <v>2.8</v>
      </c>
    </row>
    <row r="184" spans="1:4" ht="13.5" thickBot="1">
      <c r="A184" s="669">
        <v>3</v>
      </c>
      <c r="B184" s="720"/>
      <c r="C184" s="471" t="s">
        <v>229</v>
      </c>
      <c r="D184" s="472">
        <v>1</v>
      </c>
    </row>
    <row r="185" spans="1:4" ht="13.5" thickBot="1">
      <c r="A185" s="673">
        <v>1</v>
      </c>
      <c r="B185" s="473" t="s">
        <v>230</v>
      </c>
      <c r="C185" s="474" t="s">
        <v>231</v>
      </c>
      <c r="D185" s="473">
        <v>0.9</v>
      </c>
    </row>
    <row r="186" spans="1:4" ht="12.75">
      <c r="A186" s="674">
        <v>1</v>
      </c>
      <c r="B186" s="721" t="s">
        <v>74</v>
      </c>
      <c r="C186" s="675" t="s">
        <v>232</v>
      </c>
      <c r="D186" s="676">
        <v>1.24</v>
      </c>
    </row>
    <row r="187" spans="1:4" ht="12.75">
      <c r="A187" s="658">
        <v>2</v>
      </c>
      <c r="B187" s="719"/>
      <c r="C187" s="464" t="s">
        <v>233</v>
      </c>
      <c r="D187" s="677">
        <v>0.9</v>
      </c>
    </row>
    <row r="188" spans="1:4" ht="25.5">
      <c r="A188" s="658">
        <v>3</v>
      </c>
      <c r="B188" s="719"/>
      <c r="C188" s="464" t="s">
        <v>234</v>
      </c>
      <c r="D188" s="465">
        <v>0.3</v>
      </c>
    </row>
    <row r="189" spans="1:4" ht="12.75">
      <c r="A189" s="658">
        <v>4</v>
      </c>
      <c r="B189" s="719"/>
      <c r="C189" s="464" t="s">
        <v>235</v>
      </c>
      <c r="D189" s="646"/>
    </row>
    <row r="190" spans="1:4" ht="12.75">
      <c r="A190" s="658">
        <v>5</v>
      </c>
      <c r="B190" s="719"/>
      <c r="C190" s="678" t="s">
        <v>236</v>
      </c>
      <c r="D190" s="677"/>
    </row>
    <row r="191" spans="1:4" ht="12.75">
      <c r="A191" s="658">
        <v>6</v>
      </c>
      <c r="B191" s="719"/>
      <c r="C191" s="678" t="s">
        <v>237</v>
      </c>
      <c r="D191" s="677">
        <v>1.2</v>
      </c>
    </row>
    <row r="192" spans="1:4" ht="12.75">
      <c r="A192" s="658">
        <v>7</v>
      </c>
      <c r="B192" s="719"/>
      <c r="C192" s="678" t="s">
        <v>238</v>
      </c>
      <c r="D192" s="677">
        <v>0.85</v>
      </c>
    </row>
    <row r="193" spans="1:4" ht="12.75">
      <c r="A193" s="658">
        <v>8</v>
      </c>
      <c r="B193" s="719"/>
      <c r="C193" s="678" t="s">
        <v>239</v>
      </c>
      <c r="D193" s="677">
        <v>0.9</v>
      </c>
    </row>
    <row r="194" spans="1:4" ht="12.75">
      <c r="A194" s="658">
        <v>9</v>
      </c>
      <c r="B194" s="719"/>
      <c r="C194" s="678" t="s">
        <v>240</v>
      </c>
      <c r="D194" s="677">
        <v>0.3</v>
      </c>
    </row>
    <row r="195" spans="1:4" ht="12.75">
      <c r="A195" s="658">
        <v>10</v>
      </c>
      <c r="B195" s="719"/>
      <c r="C195" s="678" t="s">
        <v>241</v>
      </c>
      <c r="D195" s="677">
        <v>0.45</v>
      </c>
    </row>
    <row r="196" spans="1:4" ht="12.75">
      <c r="A196" s="658">
        <v>11</v>
      </c>
      <c r="B196" s="719"/>
      <c r="C196" s="678" t="s">
        <v>242</v>
      </c>
      <c r="D196" s="677">
        <v>0.4</v>
      </c>
    </row>
    <row r="197" spans="1:4" ht="12.75">
      <c r="A197" s="658">
        <v>12</v>
      </c>
      <c r="B197" s="719"/>
      <c r="C197" s="678" t="s">
        <v>243</v>
      </c>
      <c r="D197" s="677">
        <v>0.2</v>
      </c>
    </row>
    <row r="198" spans="1:4" ht="13.5" thickBot="1">
      <c r="A198" s="679">
        <v>13</v>
      </c>
      <c r="B198" s="722"/>
      <c r="C198" s="680" t="s">
        <v>244</v>
      </c>
      <c r="D198" s="681">
        <v>0.9</v>
      </c>
    </row>
    <row r="199" spans="1:4" ht="12.75">
      <c r="A199" s="654">
        <v>1</v>
      </c>
      <c r="B199" s="712" t="s">
        <v>72</v>
      </c>
      <c r="C199" s="475" t="s">
        <v>245</v>
      </c>
      <c r="D199" s="661">
        <v>3.45</v>
      </c>
    </row>
    <row r="200" spans="1:4" ht="12.75">
      <c r="A200" s="629">
        <v>2</v>
      </c>
      <c r="B200" s="709"/>
      <c r="C200" s="464" t="s">
        <v>246</v>
      </c>
      <c r="D200" s="465">
        <v>0.77</v>
      </c>
    </row>
    <row r="201" spans="1:4" ht="12.75">
      <c r="A201" s="629">
        <v>3</v>
      </c>
      <c r="B201" s="709"/>
      <c r="C201" s="464" t="s">
        <v>247</v>
      </c>
      <c r="D201" s="465">
        <v>0.7</v>
      </c>
    </row>
    <row r="202" spans="1:4" ht="12.75">
      <c r="A202" s="629">
        <v>4</v>
      </c>
      <c r="B202" s="709"/>
      <c r="C202" s="464" t="s">
        <v>248</v>
      </c>
      <c r="D202" s="465">
        <v>0.382</v>
      </c>
    </row>
    <row r="203" spans="1:4" ht="12.75">
      <c r="A203" s="629">
        <v>5</v>
      </c>
      <c r="B203" s="709"/>
      <c r="C203" s="464" t="s">
        <v>249</v>
      </c>
      <c r="D203" s="465">
        <v>1.48</v>
      </c>
    </row>
    <row r="204" spans="1:4" ht="12.75">
      <c r="A204" s="629">
        <v>6</v>
      </c>
      <c r="B204" s="709"/>
      <c r="C204" s="464" t="s">
        <v>250</v>
      </c>
      <c r="D204" s="465">
        <v>1.32</v>
      </c>
    </row>
    <row r="205" spans="1:4" ht="12.75">
      <c r="A205" s="629">
        <v>7</v>
      </c>
      <c r="B205" s="709"/>
      <c r="C205" s="464" t="s">
        <v>251</v>
      </c>
      <c r="D205" s="465">
        <v>1.23</v>
      </c>
    </row>
    <row r="206" spans="1:4" ht="12.75">
      <c r="A206" s="629">
        <v>8</v>
      </c>
      <c r="B206" s="709"/>
      <c r="C206" s="464" t="s">
        <v>252</v>
      </c>
      <c r="D206" s="465">
        <v>0.8</v>
      </c>
    </row>
    <row r="207" spans="1:4" ht="12.75">
      <c r="A207" s="629">
        <v>9</v>
      </c>
      <c r="B207" s="709"/>
      <c r="C207" s="464" t="s">
        <v>253</v>
      </c>
      <c r="D207" s="465">
        <v>1.4</v>
      </c>
    </row>
    <row r="208" spans="1:4" ht="12.75">
      <c r="A208" s="629">
        <v>10</v>
      </c>
      <c r="B208" s="709"/>
      <c r="C208" s="464" t="s">
        <v>254</v>
      </c>
      <c r="D208" s="465">
        <v>2.3</v>
      </c>
    </row>
    <row r="209" spans="1:4" ht="12.75">
      <c r="A209" s="629">
        <v>11</v>
      </c>
      <c r="B209" s="709"/>
      <c r="C209" s="464" t="s">
        <v>255</v>
      </c>
      <c r="D209" s="465">
        <v>4.7</v>
      </c>
    </row>
    <row r="210" spans="1:4" ht="25.5">
      <c r="A210" s="629">
        <v>12</v>
      </c>
      <c r="B210" s="709"/>
      <c r="C210" s="464" t="s">
        <v>256</v>
      </c>
      <c r="D210" s="465">
        <v>1.3</v>
      </c>
    </row>
    <row r="211" spans="1:4" ht="25.5">
      <c r="A211" s="629">
        <v>13</v>
      </c>
      <c r="B211" s="709"/>
      <c r="C211" s="464" t="s">
        <v>257</v>
      </c>
      <c r="D211" s="465">
        <v>0.7</v>
      </c>
    </row>
    <row r="212" spans="1:4" ht="12.75">
      <c r="A212" s="629">
        <v>14</v>
      </c>
      <c r="B212" s="709"/>
      <c r="C212" s="464" t="s">
        <v>258</v>
      </c>
      <c r="D212" s="465">
        <v>5.2</v>
      </c>
    </row>
    <row r="213" spans="1:4" ht="12.75">
      <c r="A213" s="658">
        <v>15</v>
      </c>
      <c r="B213" s="709"/>
      <c r="C213" s="682" t="s">
        <v>259</v>
      </c>
      <c r="D213" s="677">
        <v>1.8</v>
      </c>
    </row>
    <row r="214" spans="1:4" ht="13.5" thickBot="1">
      <c r="A214" s="683">
        <v>16</v>
      </c>
      <c r="B214" s="709"/>
      <c r="C214" s="684" t="s">
        <v>260</v>
      </c>
      <c r="D214" s="685">
        <v>0.4</v>
      </c>
    </row>
    <row r="215" spans="1:4" ht="12.75">
      <c r="A215" s="654">
        <v>1</v>
      </c>
      <c r="B215" s="712" t="s">
        <v>261</v>
      </c>
      <c r="C215" s="475" t="s">
        <v>262</v>
      </c>
      <c r="D215" s="476">
        <v>4.8</v>
      </c>
    </row>
    <row r="216" spans="1:4" ht="13.5" thickBot="1">
      <c r="A216" s="653">
        <v>2</v>
      </c>
      <c r="B216" s="713"/>
      <c r="C216" s="477" t="s">
        <v>263</v>
      </c>
      <c r="D216" s="478">
        <v>2</v>
      </c>
    </row>
    <row r="217" spans="1:4" ht="12.75">
      <c r="A217" s="686"/>
      <c r="B217" s="712" t="s">
        <v>264</v>
      </c>
      <c r="C217" s="468" t="s">
        <v>265</v>
      </c>
      <c r="D217" s="639">
        <v>1.1</v>
      </c>
    </row>
    <row r="218" spans="1:4" ht="12.75">
      <c r="A218" s="629"/>
      <c r="B218" s="709"/>
      <c r="C218" s="464" t="s">
        <v>266</v>
      </c>
      <c r="D218" s="465">
        <v>3.3</v>
      </c>
    </row>
    <row r="219" spans="1:4" ht="12.75">
      <c r="A219" s="629"/>
      <c r="B219" s="709"/>
      <c r="C219" s="464" t="s">
        <v>267</v>
      </c>
      <c r="D219" s="465">
        <v>2.3</v>
      </c>
    </row>
    <row r="220" spans="1:4" ht="12.75">
      <c r="A220" s="629"/>
      <c r="B220" s="709"/>
      <c r="C220" s="464" t="s">
        <v>268</v>
      </c>
      <c r="D220" s="465">
        <v>0.7</v>
      </c>
    </row>
    <row r="221" spans="1:4" ht="12.75">
      <c r="A221" s="629"/>
      <c r="B221" s="709"/>
      <c r="C221" s="464" t="s">
        <v>269</v>
      </c>
      <c r="D221" s="465">
        <v>0.7</v>
      </c>
    </row>
    <row r="222" spans="1:4" ht="12.75">
      <c r="A222" s="629"/>
      <c r="B222" s="709"/>
      <c r="C222" s="464" t="s">
        <v>270</v>
      </c>
      <c r="D222" s="470">
        <v>2.8</v>
      </c>
    </row>
    <row r="223" spans="1:4" ht="12.75">
      <c r="A223" s="629"/>
      <c r="B223" s="709"/>
      <c r="C223" s="464" t="s">
        <v>271</v>
      </c>
      <c r="D223" s="470">
        <v>3.1</v>
      </c>
    </row>
    <row r="224" spans="1:4" ht="12.75">
      <c r="A224" s="629"/>
      <c r="B224" s="709"/>
      <c r="C224" s="464" t="s">
        <v>272</v>
      </c>
      <c r="D224" s="470">
        <v>2.5</v>
      </c>
    </row>
    <row r="225" spans="1:4" ht="12.75">
      <c r="A225" s="686"/>
      <c r="B225" s="709"/>
      <c r="C225" s="464" t="s">
        <v>273</v>
      </c>
      <c r="D225" s="470">
        <v>0.5</v>
      </c>
    </row>
    <row r="226" spans="1:4" ht="12.75">
      <c r="A226" s="629"/>
      <c r="B226" s="709"/>
      <c r="C226" s="464" t="s">
        <v>274</v>
      </c>
      <c r="D226" s="470">
        <v>1.2</v>
      </c>
    </row>
    <row r="227" spans="1:4" ht="12.75">
      <c r="A227" s="629"/>
      <c r="B227" s="709"/>
      <c r="C227" s="464" t="s">
        <v>275</v>
      </c>
      <c r="D227" s="470">
        <v>0.7</v>
      </c>
    </row>
    <row r="228" spans="1:4" ht="12.75">
      <c r="A228" s="629"/>
      <c r="B228" s="709"/>
      <c r="C228" s="464" t="s">
        <v>276</v>
      </c>
      <c r="D228" s="470">
        <v>3</v>
      </c>
    </row>
    <row r="229" spans="1:4" ht="12.75">
      <c r="A229" s="629"/>
      <c r="B229" s="709"/>
      <c r="C229" s="464" t="s">
        <v>277</v>
      </c>
      <c r="D229" s="470">
        <v>1.3</v>
      </c>
    </row>
    <row r="230" spans="1:4" ht="12.75">
      <c r="A230" s="629"/>
      <c r="B230" s="709"/>
      <c r="C230" s="464" t="s">
        <v>278</v>
      </c>
      <c r="D230" s="470">
        <v>1.4</v>
      </c>
    </row>
    <row r="231" spans="1:4" ht="12.75">
      <c r="A231" s="629"/>
      <c r="B231" s="709"/>
      <c r="C231" s="464" t="s">
        <v>279</v>
      </c>
      <c r="D231" s="470">
        <v>0.8</v>
      </c>
    </row>
    <row r="232" spans="1:4" ht="12.75">
      <c r="A232" s="629"/>
      <c r="B232" s="709"/>
      <c r="C232" s="464" t="s">
        <v>280</v>
      </c>
      <c r="D232" s="470">
        <v>1.6</v>
      </c>
    </row>
    <row r="233" spans="1:4" ht="12.75">
      <c r="A233" s="629"/>
      <c r="B233" s="709"/>
      <c r="C233" s="464" t="s">
        <v>281</v>
      </c>
      <c r="D233" s="470">
        <v>1.2</v>
      </c>
    </row>
    <row r="234" spans="1:4" ht="12.75">
      <c r="A234" s="629"/>
      <c r="B234" s="709"/>
      <c r="C234" s="464" t="s">
        <v>282</v>
      </c>
      <c r="D234" s="470">
        <v>1.2</v>
      </c>
    </row>
    <row r="235" spans="1:4" ht="12.75">
      <c r="A235" s="629"/>
      <c r="B235" s="709"/>
      <c r="C235" s="464" t="s">
        <v>283</v>
      </c>
      <c r="D235" s="470">
        <v>2</v>
      </c>
    </row>
    <row r="236" spans="1:4" ht="25.5">
      <c r="A236" s="632"/>
      <c r="B236" s="709"/>
      <c r="C236" s="471" t="s">
        <v>284</v>
      </c>
      <c r="D236" s="472">
        <v>4.2</v>
      </c>
    </row>
    <row r="237" spans="1:4" ht="12.75">
      <c r="A237" s="629"/>
      <c r="B237" s="714"/>
      <c r="C237" s="464" t="s">
        <v>285</v>
      </c>
      <c r="D237" s="635">
        <v>0.63</v>
      </c>
    </row>
    <row r="238" spans="1:4" ht="12.75">
      <c r="A238" s="629"/>
      <c r="B238" s="465"/>
      <c r="C238" s="464"/>
      <c r="D238" s="479">
        <f>SUM(D124:D237)</f>
        <v>213.47900000000004</v>
      </c>
    </row>
    <row r="239" spans="1:4" ht="13.5" thickBot="1">
      <c r="A239" s="632"/>
      <c r="B239" s="666"/>
      <c r="C239" s="480" t="s">
        <v>159</v>
      </c>
      <c r="D239" s="472"/>
    </row>
    <row r="240" spans="1:4" ht="13.5" thickBot="1">
      <c r="A240" s="715" t="s">
        <v>106</v>
      </c>
      <c r="B240" s="716"/>
      <c r="C240" s="716"/>
      <c r="D240" s="716"/>
    </row>
    <row r="241" spans="1:4" ht="12.75">
      <c r="A241" s="717" t="s">
        <v>286</v>
      </c>
      <c r="B241" s="718"/>
      <c r="C241" s="718"/>
      <c r="D241" s="718"/>
    </row>
    <row r="242" spans="1:4" ht="12.75">
      <c r="A242" s="662">
        <v>1</v>
      </c>
      <c r="B242" s="709" t="s">
        <v>287</v>
      </c>
      <c r="C242" s="468" t="s">
        <v>106</v>
      </c>
      <c r="D242" s="639" t="s">
        <v>288</v>
      </c>
    </row>
    <row r="243" spans="1:4" ht="12.75">
      <c r="A243" s="665">
        <v>2</v>
      </c>
      <c r="B243" s="709"/>
      <c r="C243" s="464" t="s">
        <v>289</v>
      </c>
      <c r="D243" s="465" t="s">
        <v>290</v>
      </c>
    </row>
    <row r="244" spans="1:4" ht="12.75">
      <c r="A244" s="687">
        <v>3</v>
      </c>
      <c r="B244" s="709"/>
      <c r="C244" s="464" t="s">
        <v>291</v>
      </c>
      <c r="D244" s="465" t="s">
        <v>292</v>
      </c>
    </row>
    <row r="245" spans="1:4" ht="12.75">
      <c r="A245" s="688"/>
      <c r="B245" s="637"/>
      <c r="C245" s="689" t="s">
        <v>159</v>
      </c>
      <c r="D245" s="685"/>
    </row>
    <row r="246" spans="1:4" ht="12.75">
      <c r="A246" s="710" t="s">
        <v>293</v>
      </c>
      <c r="B246" s="711"/>
      <c r="C246" s="711"/>
      <c r="D246" s="711"/>
    </row>
    <row r="247" spans="1:4" ht="12.75">
      <c r="A247" s="658">
        <v>1</v>
      </c>
      <c r="B247" s="682"/>
      <c r="C247" s="682" t="s">
        <v>106</v>
      </c>
      <c r="D247" s="677"/>
    </row>
    <row r="248" spans="1:4" ht="13.5" thickBot="1">
      <c r="A248" s="679">
        <v>2</v>
      </c>
      <c r="B248" s="690"/>
      <c r="C248" s="690" t="s">
        <v>107</v>
      </c>
      <c r="D248" s="681"/>
    </row>
    <row r="249" spans="1:4" ht="13.5" thickBot="1">
      <c r="A249" s="691"/>
      <c r="B249" s="692"/>
      <c r="C249" s="692"/>
      <c r="D249" s="693"/>
    </row>
    <row r="250" spans="1:4" ht="13.5" thickBot="1">
      <c r="A250" s="619"/>
      <c r="B250" s="694"/>
      <c r="C250" s="695" t="s">
        <v>294</v>
      </c>
      <c r="D250" s="696">
        <f>D238+D116+D122</f>
        <v>242.17900000000003</v>
      </c>
    </row>
  </sheetData>
  <mergeCells count="75">
    <mergeCell ref="A1:D1"/>
    <mergeCell ref="A2:D2"/>
    <mergeCell ref="A3:D3"/>
    <mergeCell ref="A5:A7"/>
    <mergeCell ref="B5:B7"/>
    <mergeCell ref="C5:C7"/>
    <mergeCell ref="D5:D7"/>
    <mergeCell ref="A9:D9"/>
    <mergeCell ref="A10:A14"/>
    <mergeCell ref="B10:B14"/>
    <mergeCell ref="A15:A18"/>
    <mergeCell ref="B15:B18"/>
    <mergeCell ref="A19:A30"/>
    <mergeCell ref="B19:B30"/>
    <mergeCell ref="A31:A35"/>
    <mergeCell ref="B31:B35"/>
    <mergeCell ref="A36:A38"/>
    <mergeCell ref="B36:B38"/>
    <mergeCell ref="A39:A45"/>
    <mergeCell ref="B39:B45"/>
    <mergeCell ref="A46:A47"/>
    <mergeCell ref="B46:B47"/>
    <mergeCell ref="A48:A53"/>
    <mergeCell ref="B48:B53"/>
    <mergeCell ref="A54:A55"/>
    <mergeCell ref="B54:B55"/>
    <mergeCell ref="A56:A61"/>
    <mergeCell ref="B56:B61"/>
    <mergeCell ref="A62:A64"/>
    <mergeCell ref="B62:B64"/>
    <mergeCell ref="A65:A68"/>
    <mergeCell ref="B65:B68"/>
    <mergeCell ref="A69:A71"/>
    <mergeCell ref="B69:B71"/>
    <mergeCell ref="A74:D74"/>
    <mergeCell ref="A75:A77"/>
    <mergeCell ref="B75:B77"/>
    <mergeCell ref="A78:A79"/>
    <mergeCell ref="B78:B79"/>
    <mergeCell ref="A81:D81"/>
    <mergeCell ref="A83:A85"/>
    <mergeCell ref="B83:B85"/>
    <mergeCell ref="A86:A87"/>
    <mergeCell ref="B86:B87"/>
    <mergeCell ref="A88:B88"/>
    <mergeCell ref="A89:D89"/>
    <mergeCell ref="A90:A91"/>
    <mergeCell ref="B90:B91"/>
    <mergeCell ref="A92:A93"/>
    <mergeCell ref="B92:B93"/>
    <mergeCell ref="A103:D103"/>
    <mergeCell ref="A104:D104"/>
    <mergeCell ref="A105:D105"/>
    <mergeCell ref="A107:A109"/>
    <mergeCell ref="B107:B109"/>
    <mergeCell ref="C107:C109"/>
    <mergeCell ref="D107:D109"/>
    <mergeCell ref="A111:D111"/>
    <mergeCell ref="B112:B113"/>
    <mergeCell ref="A117:D117"/>
    <mergeCell ref="A123:D123"/>
    <mergeCell ref="B124:B133"/>
    <mergeCell ref="B134:B152"/>
    <mergeCell ref="B153:B164"/>
    <mergeCell ref="B165:B179"/>
    <mergeCell ref="B180:B181"/>
    <mergeCell ref="B182:B184"/>
    <mergeCell ref="B186:B198"/>
    <mergeCell ref="B199:B214"/>
    <mergeCell ref="B242:B244"/>
    <mergeCell ref="A246:D246"/>
    <mergeCell ref="B215:B216"/>
    <mergeCell ref="B217:B237"/>
    <mergeCell ref="A240:D240"/>
    <mergeCell ref="A241:D241"/>
  </mergeCells>
  <printOptions/>
  <pageMargins left="0.25" right="0.22" top="0.7" bottom="0.63" header="0.39" footer="0.69"/>
  <pageSetup horizontalDpi="600" verticalDpi="600" orientation="portrait" paperSize="9" r:id="rId1"/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0"/>
  <sheetViews>
    <sheetView zoomScale="75" zoomScaleNormal="75" workbookViewId="0" topLeftCell="A103">
      <selection activeCell="A106" sqref="A1:E16384"/>
    </sheetView>
  </sheetViews>
  <sheetFormatPr defaultColWidth="9.00390625" defaultRowHeight="12.75"/>
  <cols>
    <col min="1" max="1" width="4.75390625" style="1" customWidth="1"/>
    <col min="2" max="2" width="31.25390625" style="1" customWidth="1"/>
    <col min="3" max="3" width="64.25390625" style="1" customWidth="1"/>
    <col min="4" max="4" width="11.375" style="33" customWidth="1"/>
    <col min="5" max="5" width="17.625" style="33" customWidth="1"/>
  </cols>
  <sheetData>
    <row r="1" spans="1:5" ht="22.5">
      <c r="A1" s="697" t="s">
        <v>85</v>
      </c>
      <c r="B1" s="697"/>
      <c r="C1" s="697"/>
      <c r="D1" s="697"/>
      <c r="E1" s="697"/>
    </row>
    <row r="2" spans="1:5" ht="18.75">
      <c r="A2" s="698" t="s">
        <v>13</v>
      </c>
      <c r="B2" s="698"/>
      <c r="C2" s="698"/>
      <c r="D2" s="698"/>
      <c r="E2" s="698"/>
    </row>
    <row r="3" spans="1:5" ht="18.75">
      <c r="A3" s="698" t="s">
        <v>18</v>
      </c>
      <c r="B3" s="698"/>
      <c r="C3" s="698"/>
      <c r="D3" s="698"/>
      <c r="E3" s="698"/>
    </row>
    <row r="4" spans="1:2" ht="16.5" thickBot="1">
      <c r="A4" s="2"/>
      <c r="B4" s="2"/>
    </row>
    <row r="5" spans="1:5" ht="16.5" customHeight="1">
      <c r="A5" s="699" t="s">
        <v>20</v>
      </c>
      <c r="B5" s="699" t="s">
        <v>83</v>
      </c>
      <c r="C5" s="699" t="s">
        <v>81</v>
      </c>
      <c r="D5" s="702" t="s">
        <v>87</v>
      </c>
      <c r="E5" s="699" t="s">
        <v>130</v>
      </c>
    </row>
    <row r="6" spans="1:5" ht="16.5" customHeight="1">
      <c r="A6" s="700"/>
      <c r="B6" s="700"/>
      <c r="C6" s="700"/>
      <c r="D6" s="703"/>
      <c r="E6" s="700"/>
    </row>
    <row r="7" spans="1:5" ht="13.5" customHeight="1" thickBot="1">
      <c r="A7" s="701"/>
      <c r="B7" s="701"/>
      <c r="C7" s="701"/>
      <c r="D7" s="704"/>
      <c r="E7" s="701"/>
    </row>
    <row r="8" spans="1:5" ht="16.5" thickBot="1">
      <c r="A8" s="46">
        <v>1</v>
      </c>
      <c r="B8" s="46">
        <v>2</v>
      </c>
      <c r="C8" s="47">
        <v>4</v>
      </c>
      <c r="D8" s="48">
        <v>5</v>
      </c>
      <c r="E8" s="49">
        <v>11</v>
      </c>
    </row>
    <row r="9" spans="1:5" ht="16.5" thickBot="1">
      <c r="A9" s="754" t="s">
        <v>137</v>
      </c>
      <c r="B9" s="642"/>
      <c r="C9" s="642"/>
      <c r="D9" s="642"/>
      <c r="E9" s="615"/>
    </row>
    <row r="10" spans="1:5" ht="15.75" customHeight="1">
      <c r="A10" s="755">
        <v>1</v>
      </c>
      <c r="B10" s="755" t="s">
        <v>71</v>
      </c>
      <c r="C10" s="51" t="s">
        <v>46</v>
      </c>
      <c r="D10" s="52">
        <f>2.18*2</f>
        <v>4.36</v>
      </c>
      <c r="E10" s="11">
        <v>103100000</v>
      </c>
    </row>
    <row r="11" spans="1:5" ht="15.75">
      <c r="A11" s="756"/>
      <c r="B11" s="756"/>
      <c r="C11" s="54" t="s">
        <v>26</v>
      </c>
      <c r="D11" s="55">
        <v>1.2</v>
      </c>
      <c r="E11" s="31">
        <v>21270000</v>
      </c>
    </row>
    <row r="12" spans="1:5" ht="15.75">
      <c r="A12" s="756"/>
      <c r="B12" s="756"/>
      <c r="C12" s="54" t="s">
        <v>33</v>
      </c>
      <c r="D12" s="55">
        <v>3.5</v>
      </c>
      <c r="E12" s="31">
        <v>77150000</v>
      </c>
    </row>
    <row r="13" spans="1:5" ht="15.75">
      <c r="A13" s="756"/>
      <c r="B13" s="756"/>
      <c r="C13" s="60" t="s">
        <v>78</v>
      </c>
      <c r="D13" s="61">
        <v>2</v>
      </c>
      <c r="E13" s="63">
        <v>32350000</v>
      </c>
    </row>
    <row r="14" spans="1:5" ht="32.25" thickBot="1">
      <c r="A14" s="756"/>
      <c r="B14" s="756"/>
      <c r="C14" s="64" t="s">
        <v>100</v>
      </c>
      <c r="D14" s="65" t="s">
        <v>101</v>
      </c>
      <c r="E14" s="68">
        <v>7400000</v>
      </c>
    </row>
    <row r="15" spans="1:5" ht="15.75" customHeight="1">
      <c r="A15" s="755">
        <v>2</v>
      </c>
      <c r="B15" s="755" t="s">
        <v>119</v>
      </c>
      <c r="C15" s="69" t="s">
        <v>51</v>
      </c>
      <c r="D15" s="70">
        <v>0.4</v>
      </c>
      <c r="E15" s="11">
        <v>9400000</v>
      </c>
    </row>
    <row r="16" spans="1:5" ht="15.75">
      <c r="A16" s="756"/>
      <c r="B16" s="756"/>
      <c r="C16" s="71" t="s">
        <v>64</v>
      </c>
      <c r="D16" s="72">
        <v>0.66</v>
      </c>
      <c r="E16" s="15">
        <v>17600000</v>
      </c>
    </row>
    <row r="17" spans="1:5" ht="15.75">
      <c r="A17" s="756"/>
      <c r="B17" s="756"/>
      <c r="C17" s="73" t="s">
        <v>99</v>
      </c>
      <c r="D17" s="74">
        <v>0.51</v>
      </c>
      <c r="E17" s="63">
        <v>10650000</v>
      </c>
    </row>
    <row r="18" spans="1:5" ht="16.5" thickBot="1">
      <c r="A18" s="757"/>
      <c r="B18" s="757"/>
      <c r="C18" s="76" t="s">
        <v>113</v>
      </c>
      <c r="D18" s="77">
        <v>1.2</v>
      </c>
      <c r="E18" s="28">
        <v>20100000</v>
      </c>
    </row>
    <row r="19" spans="1:5" ht="15.75" customHeight="1">
      <c r="A19" s="755">
        <v>3</v>
      </c>
      <c r="B19" s="755" t="s">
        <v>72</v>
      </c>
      <c r="C19" s="78" t="s">
        <v>47</v>
      </c>
      <c r="D19" s="52">
        <f>3.17*2</f>
        <v>6.34</v>
      </c>
      <c r="E19" s="11">
        <v>108500000</v>
      </c>
    </row>
    <row r="20" spans="1:5" ht="15.75">
      <c r="A20" s="756"/>
      <c r="B20" s="756"/>
      <c r="C20" s="79" t="s">
        <v>57</v>
      </c>
      <c r="D20" s="80">
        <v>1.8</v>
      </c>
      <c r="E20" s="12">
        <v>65000000</v>
      </c>
    </row>
    <row r="21" spans="1:5" ht="15.75">
      <c r="A21" s="756"/>
      <c r="B21" s="756"/>
      <c r="C21" s="71" t="s">
        <v>61</v>
      </c>
      <c r="D21" s="72">
        <v>2.2</v>
      </c>
      <c r="E21" s="15">
        <v>45200000</v>
      </c>
    </row>
    <row r="22" spans="1:5" ht="15.75">
      <c r="A22" s="756"/>
      <c r="B22" s="756"/>
      <c r="C22" s="81" t="s">
        <v>25</v>
      </c>
      <c r="D22" s="82">
        <v>1.6</v>
      </c>
      <c r="E22" s="16">
        <v>35400000</v>
      </c>
    </row>
    <row r="23" spans="1:5" ht="15.75">
      <c r="A23" s="756"/>
      <c r="B23" s="756"/>
      <c r="C23" s="81" t="s">
        <v>14</v>
      </c>
      <c r="D23" s="83">
        <v>2.9</v>
      </c>
      <c r="E23" s="16">
        <v>99750000</v>
      </c>
    </row>
    <row r="24" spans="1:5" ht="15.75">
      <c r="A24" s="756"/>
      <c r="B24" s="756"/>
      <c r="C24" s="84" t="s">
        <v>115</v>
      </c>
      <c r="D24" s="85"/>
      <c r="E24" s="88">
        <v>11700000</v>
      </c>
    </row>
    <row r="25" spans="1:5" ht="15.75">
      <c r="A25" s="756"/>
      <c r="B25" s="756"/>
      <c r="C25" s="89" t="s">
        <v>92</v>
      </c>
      <c r="D25" s="56">
        <v>2.24</v>
      </c>
      <c r="E25" s="63">
        <v>93546600</v>
      </c>
    </row>
    <row r="26" spans="1:5" ht="15.75">
      <c r="A26" s="756"/>
      <c r="B26" s="756"/>
      <c r="C26" s="84" t="s">
        <v>94</v>
      </c>
      <c r="D26" s="85">
        <v>5.4</v>
      </c>
      <c r="E26" s="90">
        <v>61126140</v>
      </c>
    </row>
    <row r="27" spans="1:5" ht="15.75">
      <c r="A27" s="756"/>
      <c r="B27" s="756"/>
      <c r="C27" s="81" t="s">
        <v>27</v>
      </c>
      <c r="D27" s="83">
        <v>1.63</v>
      </c>
      <c r="E27" s="16">
        <v>27700000</v>
      </c>
    </row>
    <row r="28" spans="1:5" ht="15.75">
      <c r="A28" s="756"/>
      <c r="B28" s="756"/>
      <c r="C28" s="91" t="s">
        <v>42</v>
      </c>
      <c r="D28" s="92"/>
      <c r="E28" s="16">
        <v>33300000</v>
      </c>
    </row>
    <row r="29" spans="1:5" ht="31.5">
      <c r="A29" s="756"/>
      <c r="B29" s="756"/>
      <c r="C29" s="89" t="s">
        <v>116</v>
      </c>
      <c r="D29" s="56"/>
      <c r="E29" s="63">
        <v>45480000</v>
      </c>
    </row>
    <row r="30" spans="1:5" ht="32.25" thickBot="1">
      <c r="A30" s="757"/>
      <c r="B30" s="757"/>
      <c r="C30" s="93" t="s">
        <v>79</v>
      </c>
      <c r="D30" s="94"/>
      <c r="E30" s="14">
        <v>15900000</v>
      </c>
    </row>
    <row r="31" spans="1:5" ht="15.75" customHeight="1">
      <c r="A31" s="756">
        <v>4</v>
      </c>
      <c r="B31" s="756" t="s">
        <v>44</v>
      </c>
      <c r="C31" s="97" t="s">
        <v>70</v>
      </c>
      <c r="D31" s="98">
        <v>1.1</v>
      </c>
      <c r="E31" s="11">
        <v>19500000</v>
      </c>
    </row>
    <row r="32" spans="1:5" ht="15.75">
      <c r="A32" s="756"/>
      <c r="B32" s="756"/>
      <c r="C32" s="101" t="s">
        <v>50</v>
      </c>
      <c r="D32" s="102">
        <v>0.8</v>
      </c>
      <c r="E32" s="17">
        <v>9980000</v>
      </c>
    </row>
    <row r="33" spans="1:5" ht="15.75">
      <c r="A33" s="756"/>
      <c r="B33" s="756"/>
      <c r="C33" s="71" t="s">
        <v>63</v>
      </c>
      <c r="D33" s="103">
        <v>4.6</v>
      </c>
      <c r="E33" s="15">
        <v>137000000</v>
      </c>
    </row>
    <row r="34" spans="1:5" ht="31.5">
      <c r="A34" s="756"/>
      <c r="B34" s="756"/>
      <c r="C34" s="89" t="s">
        <v>118</v>
      </c>
      <c r="D34" s="56">
        <v>1.12</v>
      </c>
      <c r="E34" s="63">
        <v>20020000</v>
      </c>
    </row>
    <row r="35" spans="1:5" ht="16.5" thickBot="1">
      <c r="A35" s="756"/>
      <c r="B35" s="756"/>
      <c r="C35" s="104" t="s">
        <v>22</v>
      </c>
      <c r="D35" s="105">
        <v>3</v>
      </c>
      <c r="E35" s="28">
        <v>82000000</v>
      </c>
    </row>
    <row r="36" spans="1:5" ht="15.75" customHeight="1">
      <c r="A36" s="755">
        <v>5</v>
      </c>
      <c r="B36" s="755" t="s">
        <v>43</v>
      </c>
      <c r="C36" s="106" t="s">
        <v>48</v>
      </c>
      <c r="D36" s="107">
        <v>1.42</v>
      </c>
      <c r="E36" s="232">
        <v>31500000</v>
      </c>
    </row>
    <row r="37" spans="1:5" ht="15.75">
      <c r="A37" s="756"/>
      <c r="B37" s="756"/>
      <c r="C37" s="91" t="s">
        <v>95</v>
      </c>
      <c r="D37" s="57">
        <v>1.24</v>
      </c>
      <c r="E37" s="63">
        <v>12194000</v>
      </c>
    </row>
    <row r="38" spans="1:5" ht="16.5" thickBot="1">
      <c r="A38" s="757"/>
      <c r="B38" s="757"/>
      <c r="C38" s="110" t="s">
        <v>49</v>
      </c>
      <c r="D38" s="111">
        <v>4.2</v>
      </c>
      <c r="E38" s="28">
        <v>84700000</v>
      </c>
    </row>
    <row r="39" spans="1:5" ht="15.75" customHeight="1">
      <c r="A39" s="755">
        <v>6</v>
      </c>
      <c r="B39" s="755" t="s">
        <v>1</v>
      </c>
      <c r="C39" s="69" t="s">
        <v>52</v>
      </c>
      <c r="D39" s="231">
        <v>4.4</v>
      </c>
      <c r="E39" s="11">
        <v>70700000</v>
      </c>
    </row>
    <row r="40" spans="1:5" ht="15.75">
      <c r="A40" s="756"/>
      <c r="B40" s="756"/>
      <c r="C40" s="81" t="s">
        <v>114</v>
      </c>
      <c r="D40" s="113">
        <v>4.2</v>
      </c>
      <c r="E40" s="12">
        <v>98800000</v>
      </c>
    </row>
    <row r="41" spans="1:5" ht="15.75">
      <c r="A41" s="756"/>
      <c r="B41" s="756"/>
      <c r="C41" s="81" t="s">
        <v>58</v>
      </c>
      <c r="D41" s="114">
        <v>2</v>
      </c>
      <c r="E41" s="12">
        <v>47800000</v>
      </c>
    </row>
    <row r="42" spans="1:5" ht="15.75">
      <c r="A42" s="756"/>
      <c r="B42" s="756"/>
      <c r="C42" s="81" t="s">
        <v>68</v>
      </c>
      <c r="D42" s="113">
        <v>1.3</v>
      </c>
      <c r="E42" s="12">
        <v>72600000</v>
      </c>
    </row>
    <row r="43" spans="1:5" ht="15.75">
      <c r="A43" s="756"/>
      <c r="B43" s="756"/>
      <c r="C43" s="81" t="s">
        <v>39</v>
      </c>
      <c r="D43" s="115">
        <v>1.3</v>
      </c>
      <c r="E43" s="16">
        <v>73708000</v>
      </c>
    </row>
    <row r="44" spans="1:5" ht="15.75">
      <c r="A44" s="756"/>
      <c r="B44" s="756"/>
      <c r="C44" s="81" t="s">
        <v>29</v>
      </c>
      <c r="D44" s="82">
        <v>1.74</v>
      </c>
      <c r="E44" s="16">
        <v>72633000</v>
      </c>
    </row>
    <row r="45" spans="1:5" ht="16.5" thickBot="1">
      <c r="A45" s="756"/>
      <c r="B45" s="756"/>
      <c r="C45" s="54" t="s">
        <v>40</v>
      </c>
      <c r="D45" s="116">
        <v>1.62</v>
      </c>
      <c r="E45" s="14">
        <v>38765000</v>
      </c>
    </row>
    <row r="46" spans="1:5" ht="15.75" customHeight="1">
      <c r="A46" s="755">
        <v>7</v>
      </c>
      <c r="B46" s="755" t="s">
        <v>0</v>
      </c>
      <c r="C46" s="117" t="s">
        <v>53</v>
      </c>
      <c r="D46" s="70">
        <v>1.7</v>
      </c>
      <c r="E46" s="11">
        <v>29750000</v>
      </c>
    </row>
    <row r="47" spans="1:5" ht="16.5" thickBot="1">
      <c r="A47" s="757"/>
      <c r="B47" s="757"/>
      <c r="C47" s="118" t="s">
        <v>56</v>
      </c>
      <c r="D47" s="119">
        <v>0.9</v>
      </c>
      <c r="E47" s="18">
        <v>12200000</v>
      </c>
    </row>
    <row r="48" spans="1:5" ht="15.75" customHeight="1">
      <c r="A48" s="756">
        <v>8</v>
      </c>
      <c r="B48" s="756" t="s">
        <v>73</v>
      </c>
      <c r="C48" s="120" t="s">
        <v>54</v>
      </c>
      <c r="D48" s="121">
        <v>2.9</v>
      </c>
      <c r="E48" s="11">
        <v>72998050</v>
      </c>
    </row>
    <row r="49" spans="1:5" ht="15.75">
      <c r="A49" s="756"/>
      <c r="B49" s="756"/>
      <c r="C49" s="71" t="s">
        <v>60</v>
      </c>
      <c r="D49" s="123">
        <v>2.1</v>
      </c>
      <c r="E49" s="15">
        <v>9470770</v>
      </c>
    </row>
    <row r="50" spans="1:5" ht="15.75">
      <c r="A50" s="756"/>
      <c r="B50" s="756"/>
      <c r="C50" s="81" t="s">
        <v>32</v>
      </c>
      <c r="D50" s="83">
        <v>1.98</v>
      </c>
      <c r="E50" s="16">
        <v>61758780</v>
      </c>
    </row>
    <row r="51" spans="1:5" ht="15.75">
      <c r="A51" s="756"/>
      <c r="B51" s="756"/>
      <c r="C51" s="125" t="s">
        <v>37</v>
      </c>
      <c r="D51" s="126">
        <v>1.2</v>
      </c>
      <c r="E51" s="31">
        <v>15739800</v>
      </c>
    </row>
    <row r="52" spans="1:5" ht="31.5">
      <c r="A52" s="756"/>
      <c r="B52" s="756"/>
      <c r="C52" s="60" t="s">
        <v>93</v>
      </c>
      <c r="D52" s="56">
        <v>3.46</v>
      </c>
      <c r="E52" s="63">
        <v>83255000</v>
      </c>
    </row>
    <row r="53" spans="1:5" ht="16.5" thickBot="1">
      <c r="A53" s="756"/>
      <c r="B53" s="756"/>
      <c r="C53" s="128" t="s">
        <v>36</v>
      </c>
      <c r="D53" s="129">
        <v>1.2</v>
      </c>
      <c r="E53" s="32">
        <v>31569980</v>
      </c>
    </row>
    <row r="54" spans="1:5" ht="15.75" customHeight="1">
      <c r="A54" s="755">
        <v>9</v>
      </c>
      <c r="B54" s="755" t="s">
        <v>17</v>
      </c>
      <c r="C54" s="69" t="s">
        <v>55</v>
      </c>
      <c r="D54" s="130">
        <v>9</v>
      </c>
      <c r="E54" s="11">
        <v>110350000</v>
      </c>
    </row>
    <row r="55" spans="1:5" ht="16.5" thickBot="1">
      <c r="A55" s="757"/>
      <c r="B55" s="757"/>
      <c r="C55" s="118" t="s">
        <v>59</v>
      </c>
      <c r="D55" s="131">
        <v>5.5</v>
      </c>
      <c r="E55" s="18">
        <v>77500000</v>
      </c>
    </row>
    <row r="56" spans="1:5" ht="15.75" customHeight="1">
      <c r="A56" s="755">
        <v>10</v>
      </c>
      <c r="B56" s="755" t="s">
        <v>21</v>
      </c>
      <c r="C56" s="132" t="s">
        <v>24</v>
      </c>
      <c r="D56" s="70">
        <v>1.4</v>
      </c>
      <c r="E56" s="11">
        <v>19392375</v>
      </c>
    </row>
    <row r="57" spans="1:5" ht="31.5">
      <c r="A57" s="756"/>
      <c r="B57" s="756"/>
      <c r="C57" s="133" t="s">
        <v>62</v>
      </c>
      <c r="D57" s="134">
        <v>6.5</v>
      </c>
      <c r="E57" s="12">
        <v>80450421</v>
      </c>
    </row>
    <row r="58" spans="1:5" ht="15.75">
      <c r="A58" s="756"/>
      <c r="B58" s="756"/>
      <c r="C58" s="137" t="s">
        <v>66</v>
      </c>
      <c r="D58" s="80">
        <v>2.6</v>
      </c>
      <c r="E58" s="12">
        <v>37290442</v>
      </c>
    </row>
    <row r="59" spans="1:5" ht="15.75">
      <c r="A59" s="756"/>
      <c r="B59" s="756"/>
      <c r="C59" s="138" t="s">
        <v>23</v>
      </c>
      <c r="D59" s="82">
        <v>2.3</v>
      </c>
      <c r="E59" s="16">
        <v>102000000</v>
      </c>
    </row>
    <row r="60" spans="1:5" ht="15.75">
      <c r="A60" s="756"/>
      <c r="B60" s="756"/>
      <c r="C60" s="138" t="s">
        <v>28</v>
      </c>
      <c r="D60" s="83">
        <v>2.4</v>
      </c>
      <c r="E60" s="16">
        <v>83100000</v>
      </c>
    </row>
    <row r="61" spans="1:5" ht="16.5" thickBot="1">
      <c r="A61" s="757"/>
      <c r="B61" s="757"/>
      <c r="C61" s="139" t="s">
        <v>67</v>
      </c>
      <c r="D61" s="140">
        <v>1.2</v>
      </c>
      <c r="E61" s="18">
        <v>35857833</v>
      </c>
    </row>
    <row r="62" spans="1:5" ht="15.75" customHeight="1">
      <c r="A62" s="755">
        <v>11</v>
      </c>
      <c r="B62" s="755" t="s">
        <v>91</v>
      </c>
      <c r="C62" s="141" t="s">
        <v>65</v>
      </c>
      <c r="D62" s="142">
        <v>1.2</v>
      </c>
      <c r="E62" s="11">
        <v>22267000</v>
      </c>
    </row>
    <row r="63" spans="1:5" ht="15.75">
      <c r="A63" s="756"/>
      <c r="B63" s="756"/>
      <c r="C63" s="143" t="s">
        <v>69</v>
      </c>
      <c r="D63" s="144">
        <v>3.35</v>
      </c>
      <c r="E63" s="12">
        <v>53442370</v>
      </c>
    </row>
    <row r="64" spans="1:5" ht="16.5" thickBot="1">
      <c r="A64" s="757"/>
      <c r="B64" s="757"/>
      <c r="C64" s="145" t="s">
        <v>30</v>
      </c>
      <c r="D64" s="146">
        <v>3.2</v>
      </c>
      <c r="E64" s="14">
        <v>66712050</v>
      </c>
    </row>
    <row r="65" spans="1:5" ht="15.75" customHeight="1">
      <c r="A65" s="755">
        <v>12</v>
      </c>
      <c r="B65" s="755" t="s">
        <v>97</v>
      </c>
      <c r="C65" s="147" t="s">
        <v>38</v>
      </c>
      <c r="D65" s="148">
        <v>4.83</v>
      </c>
      <c r="E65" s="19">
        <v>178270270</v>
      </c>
    </row>
    <row r="66" spans="1:5" ht="15.75">
      <c r="A66" s="756"/>
      <c r="B66" s="756"/>
      <c r="C66" s="149" t="s">
        <v>117</v>
      </c>
      <c r="D66" s="58">
        <v>1.1</v>
      </c>
      <c r="E66" s="13">
        <v>20080190</v>
      </c>
    </row>
    <row r="67" spans="1:5" ht="15.75">
      <c r="A67" s="756"/>
      <c r="B67" s="756"/>
      <c r="C67" s="60" t="s">
        <v>96</v>
      </c>
      <c r="D67" s="56">
        <v>1.2</v>
      </c>
      <c r="E67" s="63">
        <v>80049600</v>
      </c>
    </row>
    <row r="68" spans="1:5" ht="16.5" thickBot="1">
      <c r="A68" s="757"/>
      <c r="B68" s="757"/>
      <c r="C68" s="93" t="s">
        <v>80</v>
      </c>
      <c r="D68" s="150">
        <v>2.34</v>
      </c>
      <c r="E68" s="14">
        <v>103930000</v>
      </c>
    </row>
    <row r="69" spans="1:5" ht="15.75" customHeight="1">
      <c r="A69" s="758">
        <v>13</v>
      </c>
      <c r="B69" s="755" t="s">
        <v>15</v>
      </c>
      <c r="C69" s="151" t="s">
        <v>34</v>
      </c>
      <c r="D69" s="152">
        <v>1.42</v>
      </c>
      <c r="E69" s="20">
        <v>17798200</v>
      </c>
    </row>
    <row r="70" spans="1:5" ht="15.75">
      <c r="A70" s="759"/>
      <c r="B70" s="756"/>
      <c r="C70" s="153" t="s">
        <v>35</v>
      </c>
      <c r="D70" s="82">
        <v>1.5</v>
      </c>
      <c r="E70" s="16">
        <v>28339100</v>
      </c>
    </row>
    <row r="71" spans="1:5" ht="16.5" thickBot="1">
      <c r="A71" s="760"/>
      <c r="B71" s="757"/>
      <c r="C71" s="145" t="s">
        <v>41</v>
      </c>
      <c r="D71" s="94">
        <v>0.75</v>
      </c>
      <c r="E71" s="14">
        <v>14800300</v>
      </c>
    </row>
    <row r="72" spans="1:5" ht="16.5" thickBot="1">
      <c r="A72" s="154">
        <v>14</v>
      </c>
      <c r="B72" s="155" t="s">
        <v>45</v>
      </c>
      <c r="C72" s="156" t="s">
        <v>31</v>
      </c>
      <c r="D72" s="157">
        <v>1.53</v>
      </c>
      <c r="E72" s="21">
        <v>29147000</v>
      </c>
    </row>
    <row r="73" spans="1:5" ht="16.5" thickBot="1">
      <c r="A73" s="23"/>
      <c r="B73" s="160" t="s">
        <v>88</v>
      </c>
      <c r="C73" s="161"/>
      <c r="D73" s="162">
        <f>SUM(D10:D72)</f>
        <v>140.74</v>
      </c>
      <c r="E73" s="230">
        <f>SUM(E10:E72)</f>
        <v>3291042271</v>
      </c>
    </row>
    <row r="74" spans="1:5" ht="16.5" thickBot="1">
      <c r="A74" s="754" t="s">
        <v>82</v>
      </c>
      <c r="B74" s="642"/>
      <c r="C74" s="642"/>
      <c r="D74" s="642"/>
      <c r="E74" s="615"/>
    </row>
    <row r="75" spans="1:5" ht="15.75" customHeight="1">
      <c r="A75" s="763">
        <v>1</v>
      </c>
      <c r="B75" s="756" t="s">
        <v>74</v>
      </c>
      <c r="C75" s="163" t="s">
        <v>9</v>
      </c>
      <c r="D75" s="53">
        <v>2.4</v>
      </c>
      <c r="E75" s="11">
        <v>42741745</v>
      </c>
    </row>
    <row r="76" spans="1:5" ht="15.75">
      <c r="A76" s="763"/>
      <c r="B76" s="756"/>
      <c r="C76" s="166" t="s">
        <v>8</v>
      </c>
      <c r="D76" s="56">
        <v>6.6</v>
      </c>
      <c r="E76" s="12">
        <v>121179345</v>
      </c>
    </row>
    <row r="77" spans="1:5" ht="16.5" thickBot="1">
      <c r="A77" s="763"/>
      <c r="B77" s="756"/>
      <c r="C77" s="167" t="s">
        <v>7</v>
      </c>
      <c r="D77" s="168">
        <v>3.07</v>
      </c>
      <c r="E77" s="18">
        <v>57113204</v>
      </c>
    </row>
    <row r="78" spans="1:5" ht="15.75" customHeight="1">
      <c r="A78" s="761">
        <v>2</v>
      </c>
      <c r="B78" s="755" t="s">
        <v>73</v>
      </c>
      <c r="C78" s="171" t="s">
        <v>7</v>
      </c>
      <c r="D78" s="172">
        <v>2.64</v>
      </c>
      <c r="E78" s="17">
        <v>40999010</v>
      </c>
    </row>
    <row r="79" spans="1:5" ht="16.5" thickBot="1">
      <c r="A79" s="762"/>
      <c r="B79" s="757"/>
      <c r="C79" s="174" t="s">
        <v>10</v>
      </c>
      <c r="D79" s="95">
        <v>2.01</v>
      </c>
      <c r="E79" s="15">
        <v>30898164</v>
      </c>
    </row>
    <row r="80" spans="1:5" ht="16.5" thickBot="1">
      <c r="A80" s="185"/>
      <c r="B80" s="160" t="s">
        <v>88</v>
      </c>
      <c r="C80" s="235"/>
      <c r="D80" s="49">
        <f>SUM(D75:D79)</f>
        <v>16.72</v>
      </c>
      <c r="E80" s="183">
        <f>SUM(E75:E79)</f>
        <v>292931468</v>
      </c>
    </row>
    <row r="81" spans="1:5" ht="16.5" thickBot="1">
      <c r="A81" s="765" t="s">
        <v>11</v>
      </c>
      <c r="B81" s="766"/>
      <c r="C81" s="766"/>
      <c r="D81" s="766"/>
      <c r="E81" s="767"/>
    </row>
    <row r="82" spans="1:5" ht="16.5" thickBot="1">
      <c r="A82" s="185">
        <v>1</v>
      </c>
      <c r="B82" s="154" t="s">
        <v>44</v>
      </c>
      <c r="C82" s="186" t="s">
        <v>5</v>
      </c>
      <c r="D82" s="154">
        <v>3.85</v>
      </c>
      <c r="E82" s="22">
        <v>105080618</v>
      </c>
    </row>
    <row r="83" spans="1:5" ht="15.75" customHeight="1">
      <c r="A83" s="761">
        <v>2</v>
      </c>
      <c r="B83" s="755" t="s">
        <v>43</v>
      </c>
      <c r="C83" s="163" t="s">
        <v>12</v>
      </c>
      <c r="D83" s="53">
        <v>0.7</v>
      </c>
      <c r="E83" s="11">
        <v>91316534</v>
      </c>
    </row>
    <row r="84" spans="1:5" ht="15.75">
      <c r="A84" s="764"/>
      <c r="B84" s="756"/>
      <c r="C84" s="166" t="s">
        <v>2</v>
      </c>
      <c r="D84" s="61">
        <v>2</v>
      </c>
      <c r="E84" s="12">
        <v>196723922</v>
      </c>
    </row>
    <row r="85" spans="1:5" ht="16.5" thickBot="1">
      <c r="A85" s="762"/>
      <c r="B85" s="757"/>
      <c r="C85" s="174" t="s">
        <v>3</v>
      </c>
      <c r="D85" s="95">
        <v>1.1</v>
      </c>
      <c r="E85" s="18">
        <v>138573856</v>
      </c>
    </row>
    <row r="86" spans="1:5" ht="15.75" customHeight="1">
      <c r="A86" s="764">
        <v>3</v>
      </c>
      <c r="B86" s="756" t="s">
        <v>1</v>
      </c>
      <c r="C86" s="190" t="s">
        <v>4</v>
      </c>
      <c r="D86" s="99">
        <v>3.4</v>
      </c>
      <c r="E86" s="17">
        <v>428262653</v>
      </c>
    </row>
    <row r="87" spans="1:5" ht="16.5" thickBot="1">
      <c r="A87" s="762"/>
      <c r="B87" s="757"/>
      <c r="C87" s="174" t="s">
        <v>6</v>
      </c>
      <c r="D87" s="95">
        <v>2.1</v>
      </c>
      <c r="E87" s="18">
        <v>222706440</v>
      </c>
    </row>
    <row r="88" spans="1:5" ht="16.5" thickBot="1">
      <c r="A88" s="530" t="s">
        <v>88</v>
      </c>
      <c r="B88" s="531"/>
      <c r="C88" s="195"/>
      <c r="D88" s="196">
        <f>SUM(D82:D87)</f>
        <v>13.15</v>
      </c>
      <c r="E88" s="183">
        <f>SUM(E82:E87)</f>
        <v>1182664023</v>
      </c>
    </row>
    <row r="89" spans="1:5" ht="16.5" thickBot="1">
      <c r="A89" s="530" t="s">
        <v>106</v>
      </c>
      <c r="B89" s="531"/>
      <c r="C89" s="531"/>
      <c r="D89" s="531"/>
      <c r="E89" s="532"/>
    </row>
    <row r="90" spans="1:5" ht="16.5" customHeight="1" thickBot="1">
      <c r="A90" s="755">
        <v>1</v>
      </c>
      <c r="B90" s="758" t="s">
        <v>74</v>
      </c>
      <c r="C90" s="4" t="s">
        <v>105</v>
      </c>
      <c r="D90" s="34"/>
      <c r="E90" s="19">
        <v>642000000</v>
      </c>
    </row>
    <row r="91" spans="1:5" ht="16.5" thickBot="1">
      <c r="A91" s="757"/>
      <c r="B91" s="760"/>
      <c r="C91" s="4" t="s">
        <v>105</v>
      </c>
      <c r="D91" s="35"/>
      <c r="E91" s="32">
        <v>108700185</v>
      </c>
    </row>
    <row r="92" spans="1:5" ht="15.75" customHeight="1">
      <c r="A92" s="768">
        <v>2</v>
      </c>
      <c r="B92" s="768" t="s">
        <v>1</v>
      </c>
      <c r="C92" s="203" t="s">
        <v>105</v>
      </c>
      <c r="D92" s="36"/>
      <c r="E92" s="198">
        <v>79420000</v>
      </c>
    </row>
    <row r="93" spans="1:5" ht="16.5" thickBot="1">
      <c r="A93" s="769"/>
      <c r="B93" s="769"/>
      <c r="C93" s="8" t="s">
        <v>107</v>
      </c>
      <c r="D93" s="35"/>
      <c r="E93" s="200">
        <v>20000000</v>
      </c>
    </row>
    <row r="94" spans="1:5" ht="16.5" thickBot="1">
      <c r="A94" s="25"/>
      <c r="B94" s="25"/>
      <c r="C94" s="206"/>
      <c r="D94" s="25"/>
      <c r="E94" s="202"/>
    </row>
    <row r="95" spans="1:5" ht="16.5" thickBot="1">
      <c r="A95" s="9"/>
      <c r="B95" s="49" t="s">
        <v>88</v>
      </c>
      <c r="C95" s="5"/>
      <c r="D95" s="37"/>
      <c r="E95" s="183">
        <f>SUM(E90:E94)</f>
        <v>850120185</v>
      </c>
    </row>
    <row r="96" spans="1:5" ht="38.25" thickBot="1">
      <c r="A96" s="222"/>
      <c r="B96" s="7" t="s">
        <v>108</v>
      </c>
      <c r="C96" s="224"/>
      <c r="D96" s="219">
        <v>16.72</v>
      </c>
      <c r="E96" s="217">
        <f>SUM(E80)</f>
        <v>292931468</v>
      </c>
    </row>
    <row r="97" spans="1:5" ht="38.25" thickBot="1">
      <c r="A97" s="224"/>
      <c r="B97" s="6" t="s">
        <v>109</v>
      </c>
      <c r="C97" s="224"/>
      <c r="D97" s="219">
        <v>13.15</v>
      </c>
      <c r="E97" s="217">
        <f>SUM(E88)</f>
        <v>1182664023</v>
      </c>
    </row>
    <row r="98" spans="1:5" ht="38.25" thickBot="1">
      <c r="A98" s="224"/>
      <c r="B98" s="6" t="s">
        <v>110</v>
      </c>
      <c r="C98" s="224"/>
      <c r="D98" s="219">
        <f>SUM(D73)</f>
        <v>140.74</v>
      </c>
      <c r="E98" s="226">
        <f>SUM(E73)</f>
        <v>3291042271</v>
      </c>
    </row>
    <row r="99" spans="1:5" ht="38.25" thickBot="1">
      <c r="A99" s="224"/>
      <c r="B99" s="7" t="s">
        <v>111</v>
      </c>
      <c r="C99" s="224"/>
      <c r="D99" s="219"/>
      <c r="E99" s="217">
        <f>SUM(E95)</f>
        <v>850120185</v>
      </c>
    </row>
    <row r="100" spans="1:5" ht="19.5" thickBot="1">
      <c r="A100" s="229"/>
      <c r="B100" s="6" t="s">
        <v>112</v>
      </c>
      <c r="C100" s="224"/>
      <c r="D100" s="220">
        <f>SUM(D96,D97,D98)</f>
        <v>170.61</v>
      </c>
      <c r="E100" s="217">
        <f>SUM(E96,E97,E98,E99)</f>
        <v>5616757947</v>
      </c>
    </row>
    <row r="102" ht="15.75">
      <c r="D102" s="209" t="s">
        <v>102</v>
      </c>
    </row>
    <row r="103" spans="1:5" ht="22.5">
      <c r="A103" s="697" t="s">
        <v>85</v>
      </c>
      <c r="B103" s="697"/>
      <c r="C103" s="697"/>
      <c r="D103" s="697"/>
      <c r="E103" s="697"/>
    </row>
    <row r="104" spans="1:5" ht="18.75">
      <c r="A104" s="698" t="s">
        <v>13</v>
      </c>
      <c r="B104" s="698"/>
      <c r="C104" s="698"/>
      <c r="D104" s="698"/>
      <c r="E104" s="698"/>
    </row>
    <row r="105" spans="1:5" ht="18.75">
      <c r="A105" s="698" t="s">
        <v>139</v>
      </c>
      <c r="B105" s="698"/>
      <c r="C105" s="698"/>
      <c r="D105" s="698"/>
      <c r="E105" s="698"/>
    </row>
    <row r="106" spans="1:5" ht="19.5" thickBot="1">
      <c r="A106" s="244"/>
      <c r="B106" s="244"/>
      <c r="C106" s="244"/>
      <c r="D106" s="244"/>
      <c r="E106" s="244"/>
    </row>
    <row r="107" spans="1:5" ht="12.75">
      <c r="A107" s="699" t="s">
        <v>20</v>
      </c>
      <c r="B107" s="699" t="s">
        <v>83</v>
      </c>
      <c r="C107" s="699" t="s">
        <v>81</v>
      </c>
      <c r="D107" s="702" t="s">
        <v>140</v>
      </c>
      <c r="E107" s="699" t="s">
        <v>141</v>
      </c>
    </row>
    <row r="108" spans="1:5" ht="12.75">
      <c r="A108" s="700"/>
      <c r="B108" s="700"/>
      <c r="C108" s="700"/>
      <c r="D108" s="703"/>
      <c r="E108" s="700"/>
    </row>
    <row r="109" spans="1:5" ht="13.5" thickBot="1">
      <c r="A109" s="701"/>
      <c r="B109" s="701"/>
      <c r="C109" s="701"/>
      <c r="D109" s="704"/>
      <c r="E109" s="701"/>
    </row>
    <row r="110" spans="1:5" ht="16.5" thickBot="1">
      <c r="A110" s="46">
        <v>1</v>
      </c>
      <c r="B110" s="46">
        <v>2</v>
      </c>
      <c r="C110" s="47">
        <v>4</v>
      </c>
      <c r="D110" s="48">
        <v>5</v>
      </c>
      <c r="E110" s="49">
        <v>6</v>
      </c>
    </row>
    <row r="111" spans="1:5" ht="16.5" thickBot="1">
      <c r="A111" s="640" t="s">
        <v>153</v>
      </c>
      <c r="B111" s="641"/>
      <c r="C111" s="642"/>
      <c r="D111" s="642"/>
      <c r="E111" s="615"/>
    </row>
    <row r="112" spans="1:5" ht="15.75">
      <c r="A112" s="294">
        <v>1</v>
      </c>
      <c r="B112" s="557" t="s">
        <v>1</v>
      </c>
      <c r="C112" s="246" t="s">
        <v>154</v>
      </c>
      <c r="D112" s="247">
        <v>4.65</v>
      </c>
      <c r="E112" s="317">
        <v>88353.6</v>
      </c>
    </row>
    <row r="113" spans="1:5" ht="15.75">
      <c r="A113" s="408">
        <v>2</v>
      </c>
      <c r="B113" s="558"/>
      <c r="C113" s="254" t="s">
        <v>155</v>
      </c>
      <c r="D113" s="255">
        <v>4.24</v>
      </c>
      <c r="E113" s="322">
        <v>99768.1</v>
      </c>
    </row>
    <row r="114" spans="1:5" ht="15.75">
      <c r="A114" s="294">
        <v>3</v>
      </c>
      <c r="B114" s="245" t="s">
        <v>73</v>
      </c>
      <c r="C114" s="261" t="s">
        <v>156</v>
      </c>
      <c r="D114" s="245">
        <v>5.03</v>
      </c>
      <c r="E114" s="331">
        <v>86805.014</v>
      </c>
    </row>
    <row r="115" spans="1:5" ht="31.5">
      <c r="A115" s="294">
        <v>4</v>
      </c>
      <c r="B115" s="245" t="s">
        <v>157</v>
      </c>
      <c r="C115" s="261" t="s">
        <v>158</v>
      </c>
      <c r="D115" s="264">
        <v>4.47</v>
      </c>
      <c r="E115" s="331">
        <v>163762.2</v>
      </c>
    </row>
    <row r="116" spans="1:5" ht="16.5" thickBot="1">
      <c r="A116" s="432"/>
      <c r="B116" s="265"/>
      <c r="C116" s="266" t="s">
        <v>159</v>
      </c>
      <c r="D116" s="267">
        <f>SUM(D112:D115)</f>
        <v>18.39</v>
      </c>
      <c r="E116" s="433">
        <f>SUM(E112:E115)</f>
        <v>438688.91400000005</v>
      </c>
    </row>
    <row r="117" spans="1:5" ht="16.5" thickBot="1">
      <c r="A117" s="533" t="s">
        <v>11</v>
      </c>
      <c r="B117" s="534"/>
      <c r="C117" s="534"/>
      <c r="D117" s="534"/>
      <c r="E117" s="535"/>
    </row>
    <row r="118" spans="1:5" ht="31.5">
      <c r="A118" s="434">
        <v>1</v>
      </c>
      <c r="B118" s="269" t="s">
        <v>1</v>
      </c>
      <c r="C118" s="270" t="s">
        <v>160</v>
      </c>
      <c r="D118" s="271">
        <v>2.94</v>
      </c>
      <c r="E118" s="435">
        <v>551498.5</v>
      </c>
    </row>
    <row r="119" spans="1:5" ht="15.75">
      <c r="A119" s="289">
        <v>2</v>
      </c>
      <c r="B119" s="245" t="s">
        <v>161</v>
      </c>
      <c r="C119" s="261" t="s">
        <v>162</v>
      </c>
      <c r="D119" s="245">
        <v>2.47</v>
      </c>
      <c r="E119" s="331">
        <v>205004.78</v>
      </c>
    </row>
    <row r="120" spans="1:5" ht="15.75">
      <c r="A120" s="294">
        <v>3</v>
      </c>
      <c r="B120" s="245" t="s">
        <v>163</v>
      </c>
      <c r="C120" s="261" t="s">
        <v>164</v>
      </c>
      <c r="D120" s="245">
        <v>1.4</v>
      </c>
      <c r="E120" s="234">
        <v>182000</v>
      </c>
    </row>
    <row r="121" spans="1:5" ht="15.75">
      <c r="A121" s="294">
        <v>4</v>
      </c>
      <c r="B121" s="245" t="s">
        <v>165</v>
      </c>
      <c r="C121" s="261" t="s">
        <v>166</v>
      </c>
      <c r="D121" s="277">
        <v>3.5</v>
      </c>
      <c r="E121" s="436">
        <v>381799.68</v>
      </c>
    </row>
    <row r="122" spans="1:5" ht="16.5" thickBot="1">
      <c r="A122" s="437"/>
      <c r="B122" s="265"/>
      <c r="C122" s="282" t="s">
        <v>159</v>
      </c>
      <c r="D122" s="283">
        <f>SUM(D118:D121)</f>
        <v>10.31</v>
      </c>
      <c r="E122" s="438">
        <f>SUM(E118:E121)</f>
        <v>1320302.96</v>
      </c>
    </row>
    <row r="123" spans="1:5" ht="16.5" thickBot="1">
      <c r="A123" s="533" t="s">
        <v>137</v>
      </c>
      <c r="B123" s="534"/>
      <c r="C123" s="534"/>
      <c r="D123" s="534"/>
      <c r="E123" s="535"/>
    </row>
    <row r="124" spans="1:6" ht="15.75">
      <c r="A124" s="284">
        <v>1</v>
      </c>
      <c r="B124" s="536" t="s">
        <v>157</v>
      </c>
      <c r="C124" s="285" t="s">
        <v>167</v>
      </c>
      <c r="D124" s="286">
        <v>2.3</v>
      </c>
      <c r="E124" s="439">
        <v>69520</v>
      </c>
      <c r="F124">
        <v>1</v>
      </c>
    </row>
    <row r="125" spans="1:6" ht="15.75">
      <c r="A125" s="289">
        <v>2</v>
      </c>
      <c r="B125" s="537"/>
      <c r="C125" s="290" t="s">
        <v>168</v>
      </c>
      <c r="D125" s="291">
        <v>4</v>
      </c>
      <c r="E125" s="440">
        <v>124170</v>
      </c>
      <c r="F125">
        <v>1</v>
      </c>
    </row>
    <row r="126" spans="1:6" ht="15.75">
      <c r="A126" s="289">
        <v>3</v>
      </c>
      <c r="B126" s="537"/>
      <c r="C126" s="290" t="s">
        <v>169</v>
      </c>
      <c r="D126" s="291">
        <v>1.245</v>
      </c>
      <c r="E126" s="293">
        <v>18900.52</v>
      </c>
      <c r="F126">
        <v>1</v>
      </c>
    </row>
    <row r="127" spans="1:6" ht="31.5">
      <c r="A127" s="289">
        <v>4</v>
      </c>
      <c r="B127" s="537"/>
      <c r="C127" s="290" t="s">
        <v>170</v>
      </c>
      <c r="D127" s="291">
        <v>1.4</v>
      </c>
      <c r="E127" s="440">
        <v>22530</v>
      </c>
      <c r="F127">
        <v>1</v>
      </c>
    </row>
    <row r="128" spans="1:6" ht="15.75">
      <c r="A128" s="289">
        <v>5</v>
      </c>
      <c r="B128" s="537"/>
      <c r="C128" s="290" t="s">
        <v>171</v>
      </c>
      <c r="D128" s="291">
        <v>3.287</v>
      </c>
      <c r="E128" s="293">
        <v>38427.2</v>
      </c>
      <c r="F128">
        <v>1</v>
      </c>
    </row>
    <row r="129" spans="1:6" ht="15.75">
      <c r="A129" s="294">
        <v>6</v>
      </c>
      <c r="B129" s="537"/>
      <c r="C129" s="290" t="s">
        <v>172</v>
      </c>
      <c r="D129" s="291">
        <v>0.8</v>
      </c>
      <c r="E129" s="440">
        <v>16370</v>
      </c>
      <c r="F129">
        <v>1</v>
      </c>
    </row>
    <row r="130" spans="1:6" ht="15.75">
      <c r="A130" s="294">
        <v>7</v>
      </c>
      <c r="B130" s="537"/>
      <c r="C130" s="290" t="s">
        <v>173</v>
      </c>
      <c r="D130" s="291">
        <v>3.8</v>
      </c>
      <c r="E130" s="293">
        <v>151685.2</v>
      </c>
      <c r="F130">
        <v>1</v>
      </c>
    </row>
    <row r="131" spans="1:6" ht="15.75">
      <c r="A131" s="294">
        <v>8</v>
      </c>
      <c r="B131" s="537"/>
      <c r="C131" s="290" t="s">
        <v>174</v>
      </c>
      <c r="D131" s="291">
        <v>4.2</v>
      </c>
      <c r="E131" s="293">
        <v>118462.9</v>
      </c>
      <c r="F131">
        <v>1</v>
      </c>
    </row>
    <row r="132" spans="1:6" ht="15.75">
      <c r="A132" s="294">
        <v>9</v>
      </c>
      <c r="B132" s="537"/>
      <c r="C132" s="295" t="s">
        <v>175</v>
      </c>
      <c r="D132" s="296">
        <v>3.07</v>
      </c>
      <c r="E132" s="234">
        <v>209600</v>
      </c>
      <c r="F132">
        <v>1</v>
      </c>
    </row>
    <row r="133" spans="1:6" ht="16.5" thickBot="1">
      <c r="A133" s="298"/>
      <c r="B133" s="538"/>
      <c r="C133" s="299" t="s">
        <v>176</v>
      </c>
      <c r="D133" s="300">
        <v>2</v>
      </c>
      <c r="E133" s="441">
        <v>99749</v>
      </c>
      <c r="F133">
        <v>1</v>
      </c>
    </row>
    <row r="134" spans="1:6" ht="15.75">
      <c r="A134" s="304">
        <v>1</v>
      </c>
      <c r="B134" s="536" t="s">
        <v>1</v>
      </c>
      <c r="C134" s="305" t="s">
        <v>177</v>
      </c>
      <c r="D134" s="306">
        <v>2.3</v>
      </c>
      <c r="E134" s="312">
        <v>106520</v>
      </c>
      <c r="F134">
        <v>1</v>
      </c>
    </row>
    <row r="135" spans="1:6" ht="15.75">
      <c r="A135" s="294">
        <v>2</v>
      </c>
      <c r="B135" s="537"/>
      <c r="C135" s="246" t="s">
        <v>178</v>
      </c>
      <c r="D135" s="248">
        <v>2.6</v>
      </c>
      <c r="E135" s="317">
        <v>10710</v>
      </c>
      <c r="F135">
        <v>1</v>
      </c>
    </row>
    <row r="136" spans="1:6" ht="15.75">
      <c r="A136" s="314">
        <v>3</v>
      </c>
      <c r="B136" s="537"/>
      <c r="C136" s="246" t="s">
        <v>179</v>
      </c>
      <c r="D136" s="248">
        <v>2.8</v>
      </c>
      <c r="E136" s="317">
        <v>8967</v>
      </c>
      <c r="F136">
        <v>1</v>
      </c>
    </row>
    <row r="137" spans="1:6" ht="15.75">
      <c r="A137" s="314">
        <v>4</v>
      </c>
      <c r="B137" s="537"/>
      <c r="C137" s="246" t="s">
        <v>180</v>
      </c>
      <c r="D137" s="248">
        <v>2</v>
      </c>
      <c r="E137" s="317">
        <v>10219</v>
      </c>
      <c r="F137">
        <v>1</v>
      </c>
    </row>
    <row r="138" spans="1:6" ht="15.75">
      <c r="A138" s="314">
        <v>5</v>
      </c>
      <c r="B138" s="537"/>
      <c r="C138" s="246" t="s">
        <v>181</v>
      </c>
      <c r="D138" s="248">
        <v>1</v>
      </c>
      <c r="E138" s="317">
        <v>47953</v>
      </c>
      <c r="F138">
        <v>1</v>
      </c>
    </row>
    <row r="139" spans="1:6" ht="15.75">
      <c r="A139" s="314">
        <v>6</v>
      </c>
      <c r="B139" s="537"/>
      <c r="C139" s="246" t="s">
        <v>182</v>
      </c>
      <c r="D139" s="248">
        <v>1.6</v>
      </c>
      <c r="E139" s="317">
        <v>18956</v>
      </c>
      <c r="F139">
        <v>1</v>
      </c>
    </row>
    <row r="140" spans="1:6" ht="15.75">
      <c r="A140" s="314">
        <v>7</v>
      </c>
      <c r="B140" s="537"/>
      <c r="C140" s="246" t="s">
        <v>183</v>
      </c>
      <c r="D140" s="248">
        <v>5.6</v>
      </c>
      <c r="E140" s="317">
        <v>168161</v>
      </c>
      <c r="F140">
        <v>1</v>
      </c>
    </row>
    <row r="141" spans="1:6" ht="31.5">
      <c r="A141" s="314">
        <v>8</v>
      </c>
      <c r="B141" s="537"/>
      <c r="C141" s="246" t="s">
        <v>184</v>
      </c>
      <c r="D141" s="248">
        <v>0.9</v>
      </c>
      <c r="E141" s="317">
        <v>27758</v>
      </c>
      <c r="F141">
        <v>1</v>
      </c>
    </row>
    <row r="142" spans="1:6" ht="15.75">
      <c r="A142" s="314">
        <v>9</v>
      </c>
      <c r="B142" s="537"/>
      <c r="C142" s="246" t="s">
        <v>185</v>
      </c>
      <c r="D142" s="248">
        <v>1.2</v>
      </c>
      <c r="E142" s="317">
        <v>42640</v>
      </c>
      <c r="F142">
        <v>1</v>
      </c>
    </row>
    <row r="143" spans="1:6" ht="15.75">
      <c r="A143" s="314">
        <v>10</v>
      </c>
      <c r="B143" s="537"/>
      <c r="C143" s="246" t="s">
        <v>186</v>
      </c>
      <c r="D143" s="248">
        <v>1</v>
      </c>
      <c r="E143" s="317">
        <v>38549</v>
      </c>
      <c r="F143">
        <v>1</v>
      </c>
    </row>
    <row r="144" spans="1:6" ht="15.75">
      <c r="A144" s="314">
        <v>11</v>
      </c>
      <c r="B144" s="537"/>
      <c r="C144" s="246" t="s">
        <v>187</v>
      </c>
      <c r="D144" s="248">
        <v>2.4</v>
      </c>
      <c r="E144" s="317">
        <v>124995</v>
      </c>
      <c r="F144">
        <v>1</v>
      </c>
    </row>
    <row r="145" spans="1:6" ht="15.75">
      <c r="A145" s="314">
        <v>12</v>
      </c>
      <c r="B145" s="537"/>
      <c r="C145" s="246" t="s">
        <v>188</v>
      </c>
      <c r="D145" s="248">
        <v>1.6</v>
      </c>
      <c r="E145" s="317">
        <v>60740</v>
      </c>
      <c r="F145">
        <v>1</v>
      </c>
    </row>
    <row r="146" spans="1:6" ht="15.75">
      <c r="A146" s="314">
        <v>13</v>
      </c>
      <c r="B146" s="537"/>
      <c r="C146" s="246" t="s">
        <v>189</v>
      </c>
      <c r="D146" s="248">
        <v>1.3</v>
      </c>
      <c r="E146" s="317">
        <v>25717</v>
      </c>
      <c r="F146">
        <v>1</v>
      </c>
    </row>
    <row r="147" spans="1:6" ht="15.75">
      <c r="A147" s="314">
        <v>14</v>
      </c>
      <c r="B147" s="537"/>
      <c r="C147" s="246" t="s">
        <v>190</v>
      </c>
      <c r="D147" s="248">
        <v>1.3</v>
      </c>
      <c r="E147" s="317">
        <v>49138</v>
      </c>
      <c r="F147">
        <v>1</v>
      </c>
    </row>
    <row r="148" spans="1:6" ht="15.75">
      <c r="A148" s="314">
        <v>15</v>
      </c>
      <c r="B148" s="537"/>
      <c r="C148" s="254" t="s">
        <v>191</v>
      </c>
      <c r="D148" s="255">
        <v>0.36</v>
      </c>
      <c r="E148" s="322">
        <v>25609</v>
      </c>
      <c r="F148">
        <v>1</v>
      </c>
    </row>
    <row r="149" spans="1:6" ht="15.75">
      <c r="A149" s="314">
        <v>16</v>
      </c>
      <c r="B149" s="537"/>
      <c r="C149" s="246" t="s">
        <v>192</v>
      </c>
      <c r="D149" s="247">
        <v>0.73</v>
      </c>
      <c r="E149" s="317">
        <v>2691.5</v>
      </c>
      <c r="F149">
        <v>1</v>
      </c>
    </row>
    <row r="150" spans="1:6" ht="15.75">
      <c r="A150" s="314">
        <v>17</v>
      </c>
      <c r="B150" s="537"/>
      <c r="C150" s="246" t="s">
        <v>193</v>
      </c>
      <c r="D150" s="247">
        <v>0.65</v>
      </c>
      <c r="E150" s="317">
        <v>20815.8</v>
      </c>
      <c r="F150">
        <v>1</v>
      </c>
    </row>
    <row r="151" spans="1:6" ht="15.75">
      <c r="A151" s="314">
        <v>18</v>
      </c>
      <c r="B151" s="537"/>
      <c r="C151" s="246" t="s">
        <v>194</v>
      </c>
      <c r="D151" s="247">
        <v>2.53</v>
      </c>
      <c r="E151" s="317">
        <v>36734</v>
      </c>
      <c r="F151">
        <v>1</v>
      </c>
    </row>
    <row r="152" spans="1:6" ht="16.5" thickBot="1">
      <c r="A152" s="169">
        <v>19</v>
      </c>
      <c r="B152" s="538"/>
      <c r="C152" s="323" t="s">
        <v>195</v>
      </c>
      <c r="D152" s="324">
        <v>4.6</v>
      </c>
      <c r="E152" s="326"/>
      <c r="F152">
        <v>1</v>
      </c>
    </row>
    <row r="153" spans="1:6" ht="15.75">
      <c r="A153" s="164">
        <v>1</v>
      </c>
      <c r="B153" s="536" t="s">
        <v>73</v>
      </c>
      <c r="C153" s="327" t="s">
        <v>196</v>
      </c>
      <c r="D153" s="328">
        <v>1.6</v>
      </c>
      <c r="E153" s="330">
        <v>28299.57</v>
      </c>
      <c r="F153">
        <v>1</v>
      </c>
    </row>
    <row r="154" spans="1:6" ht="15.75">
      <c r="A154" s="314">
        <v>2</v>
      </c>
      <c r="B154" s="537"/>
      <c r="C154" s="261" t="s">
        <v>197</v>
      </c>
      <c r="D154" s="245">
        <v>5.4</v>
      </c>
      <c r="E154" s="234">
        <v>83255</v>
      </c>
      <c r="F154">
        <v>1</v>
      </c>
    </row>
    <row r="155" spans="1:6" ht="15.75">
      <c r="A155" s="314">
        <v>3</v>
      </c>
      <c r="B155" s="537"/>
      <c r="C155" s="261" t="s">
        <v>198</v>
      </c>
      <c r="D155" s="245">
        <v>6.9</v>
      </c>
      <c r="E155" s="331">
        <v>49065.71</v>
      </c>
      <c r="F155">
        <v>1</v>
      </c>
    </row>
    <row r="156" spans="1:6" ht="15.75">
      <c r="A156" s="314">
        <v>4</v>
      </c>
      <c r="B156" s="537"/>
      <c r="C156" s="261" t="s">
        <v>199</v>
      </c>
      <c r="D156" s="245">
        <v>0.73</v>
      </c>
      <c r="E156" s="331">
        <v>9183.98</v>
      </c>
      <c r="F156">
        <v>1</v>
      </c>
    </row>
    <row r="157" spans="1:6" ht="15.75">
      <c r="A157" s="314">
        <v>5</v>
      </c>
      <c r="B157" s="537"/>
      <c r="C157" s="261" t="s">
        <v>200</v>
      </c>
      <c r="D157" s="245">
        <v>10.79</v>
      </c>
      <c r="E157" s="234">
        <v>66000</v>
      </c>
      <c r="F157">
        <v>1</v>
      </c>
    </row>
    <row r="158" spans="1:6" ht="15.75">
      <c r="A158" s="314">
        <v>6</v>
      </c>
      <c r="B158" s="537"/>
      <c r="C158" s="261" t="s">
        <v>201</v>
      </c>
      <c r="D158" s="245">
        <v>3.28</v>
      </c>
      <c r="E158" s="234">
        <v>79300</v>
      </c>
      <c r="F158">
        <v>1</v>
      </c>
    </row>
    <row r="159" spans="1:6" ht="15.75">
      <c r="A159" s="314">
        <v>7</v>
      </c>
      <c r="B159" s="537"/>
      <c r="C159" s="261" t="s">
        <v>202</v>
      </c>
      <c r="D159" s="245">
        <v>3.38</v>
      </c>
      <c r="E159" s="234">
        <v>157000</v>
      </c>
      <c r="F159">
        <v>1</v>
      </c>
    </row>
    <row r="160" spans="1:6" ht="15.75">
      <c r="A160" s="314">
        <v>8</v>
      </c>
      <c r="B160" s="537"/>
      <c r="C160" s="261" t="s">
        <v>203</v>
      </c>
      <c r="D160" s="245">
        <v>1.2</v>
      </c>
      <c r="E160" s="234">
        <v>24000</v>
      </c>
      <c r="F160">
        <v>1</v>
      </c>
    </row>
    <row r="161" spans="1:6" ht="15.75">
      <c r="A161" s="314">
        <v>9</v>
      </c>
      <c r="B161" s="537"/>
      <c r="C161" s="261" t="s">
        <v>204</v>
      </c>
      <c r="D161" s="245">
        <v>0.285</v>
      </c>
      <c r="E161" s="234">
        <v>9416</v>
      </c>
      <c r="F161">
        <v>1</v>
      </c>
    </row>
    <row r="162" spans="1:6" ht="15.75">
      <c r="A162" s="191">
        <v>10</v>
      </c>
      <c r="B162" s="537"/>
      <c r="C162" s="332" t="s">
        <v>205</v>
      </c>
      <c r="D162" s="333">
        <v>1.6</v>
      </c>
      <c r="E162" s="234"/>
      <c r="F162">
        <v>1</v>
      </c>
    </row>
    <row r="163" spans="1:6" ht="15.75">
      <c r="A163" s="191">
        <v>11</v>
      </c>
      <c r="B163" s="537"/>
      <c r="C163" s="332" t="s">
        <v>206</v>
      </c>
      <c r="D163" s="333">
        <v>2.7</v>
      </c>
      <c r="E163" s="234"/>
      <c r="F163">
        <v>1</v>
      </c>
    </row>
    <row r="164" spans="1:6" ht="16.5" thickBot="1">
      <c r="A164" s="334">
        <v>12</v>
      </c>
      <c r="B164" s="538"/>
      <c r="C164" s="323" t="s">
        <v>207</v>
      </c>
      <c r="D164" s="335">
        <v>0.4</v>
      </c>
      <c r="E164" s="441"/>
      <c r="F164">
        <v>1</v>
      </c>
    </row>
    <row r="165" spans="1:6" ht="15.75">
      <c r="A165" s="191">
        <v>1</v>
      </c>
      <c r="B165" s="536" t="s">
        <v>163</v>
      </c>
      <c r="C165" s="338" t="s">
        <v>208</v>
      </c>
      <c r="D165" s="339">
        <v>1</v>
      </c>
      <c r="E165" s="442">
        <v>8800</v>
      </c>
      <c r="F165">
        <v>1</v>
      </c>
    </row>
    <row r="166" spans="1:6" ht="15.75">
      <c r="A166" s="62">
        <v>2</v>
      </c>
      <c r="B166" s="537"/>
      <c r="C166" s="295" t="s">
        <v>209</v>
      </c>
      <c r="D166" s="343">
        <v>2.5</v>
      </c>
      <c r="E166" s="443">
        <v>18300</v>
      </c>
      <c r="F166">
        <v>1</v>
      </c>
    </row>
    <row r="167" spans="1:6" ht="15.75">
      <c r="A167" s="62">
        <v>3</v>
      </c>
      <c r="B167" s="537"/>
      <c r="C167" s="295" t="s">
        <v>210</v>
      </c>
      <c r="D167" s="345">
        <v>4</v>
      </c>
      <c r="E167" s="443">
        <v>36500</v>
      </c>
      <c r="F167">
        <v>1</v>
      </c>
    </row>
    <row r="168" spans="1:6" ht="15.75">
      <c r="A168" s="62">
        <v>4</v>
      </c>
      <c r="B168" s="537"/>
      <c r="C168" s="295" t="s">
        <v>211</v>
      </c>
      <c r="D168" s="296">
        <v>0.2</v>
      </c>
      <c r="E168" s="443">
        <v>3950</v>
      </c>
      <c r="F168">
        <v>1</v>
      </c>
    </row>
    <row r="169" spans="1:6" ht="15.75">
      <c r="A169" s="62">
        <v>5</v>
      </c>
      <c r="B169" s="537"/>
      <c r="C169" s="295" t="s">
        <v>212</v>
      </c>
      <c r="D169" s="345">
        <v>0.9</v>
      </c>
      <c r="E169" s="443">
        <v>42000</v>
      </c>
      <c r="F169">
        <v>1</v>
      </c>
    </row>
    <row r="170" spans="1:6" ht="15.75">
      <c r="A170" s="62">
        <v>6</v>
      </c>
      <c r="B170" s="537"/>
      <c r="C170" s="295" t="s">
        <v>213</v>
      </c>
      <c r="D170" s="345">
        <v>2.7</v>
      </c>
      <c r="E170" s="443">
        <v>27000</v>
      </c>
      <c r="F170">
        <v>1</v>
      </c>
    </row>
    <row r="171" spans="1:6" ht="15.75">
      <c r="A171" s="62">
        <v>7</v>
      </c>
      <c r="B171" s="537"/>
      <c r="C171" s="295" t="s">
        <v>214</v>
      </c>
      <c r="D171" s="345">
        <v>0.9</v>
      </c>
      <c r="E171" s="443">
        <v>27000</v>
      </c>
      <c r="F171">
        <v>1</v>
      </c>
    </row>
    <row r="172" spans="1:6" ht="15.75">
      <c r="A172" s="62">
        <v>8</v>
      </c>
      <c r="B172" s="537"/>
      <c r="C172" s="295" t="s">
        <v>215</v>
      </c>
      <c r="D172" s="343">
        <v>1.4</v>
      </c>
      <c r="E172" s="443">
        <v>36000</v>
      </c>
      <c r="F172">
        <v>1</v>
      </c>
    </row>
    <row r="173" spans="1:6" ht="15.75">
      <c r="A173" s="62">
        <v>9</v>
      </c>
      <c r="B173" s="537"/>
      <c r="C173" s="295" t="s">
        <v>216</v>
      </c>
      <c r="D173" s="345">
        <v>0.4</v>
      </c>
      <c r="E173" s="443">
        <v>27000</v>
      </c>
      <c r="F173">
        <v>1</v>
      </c>
    </row>
    <row r="174" spans="1:6" ht="15.75">
      <c r="A174" s="62">
        <v>10</v>
      </c>
      <c r="B174" s="537"/>
      <c r="C174" s="295" t="s">
        <v>217</v>
      </c>
      <c r="D174" s="345">
        <v>0.2</v>
      </c>
      <c r="E174" s="443">
        <v>6150</v>
      </c>
      <c r="F174">
        <v>1</v>
      </c>
    </row>
    <row r="175" spans="1:6" ht="15.75">
      <c r="A175" s="62">
        <v>11</v>
      </c>
      <c r="B175" s="537"/>
      <c r="C175" s="295" t="s">
        <v>218</v>
      </c>
      <c r="D175" s="345">
        <v>0.8</v>
      </c>
      <c r="E175" s="443">
        <v>16700</v>
      </c>
      <c r="F175">
        <v>1</v>
      </c>
    </row>
    <row r="176" spans="1:6" ht="15.75">
      <c r="A176" s="62">
        <v>12</v>
      </c>
      <c r="B176" s="537"/>
      <c r="C176" s="295" t="s">
        <v>219</v>
      </c>
      <c r="D176" s="345">
        <v>1.5</v>
      </c>
      <c r="E176" s="443">
        <v>43600</v>
      </c>
      <c r="F176">
        <v>1</v>
      </c>
    </row>
    <row r="177" spans="1:6" ht="15.75">
      <c r="A177" s="62">
        <v>13</v>
      </c>
      <c r="B177" s="537"/>
      <c r="C177" s="295" t="s">
        <v>220</v>
      </c>
      <c r="D177" s="345">
        <v>0.5</v>
      </c>
      <c r="E177" s="443">
        <v>18000</v>
      </c>
      <c r="F177">
        <v>1</v>
      </c>
    </row>
    <row r="178" spans="1:6" ht="15.75">
      <c r="A178" s="294">
        <v>14</v>
      </c>
      <c r="B178" s="537"/>
      <c r="C178" s="332" t="s">
        <v>221</v>
      </c>
      <c r="D178" s="333">
        <v>0.73</v>
      </c>
      <c r="E178" s="331"/>
      <c r="F178">
        <v>1</v>
      </c>
    </row>
    <row r="179" spans="1:6" ht="16.5" thickBot="1">
      <c r="A179" s="408">
        <v>15</v>
      </c>
      <c r="B179" s="537"/>
      <c r="C179" s="346" t="s">
        <v>222</v>
      </c>
      <c r="D179" s="347">
        <v>0.75</v>
      </c>
      <c r="E179" s="410"/>
      <c r="F179">
        <v>1</v>
      </c>
    </row>
    <row r="180" spans="1:6" ht="15.75">
      <c r="A180" s="304">
        <v>1</v>
      </c>
      <c r="B180" s="536" t="s">
        <v>223</v>
      </c>
      <c r="C180" s="327" t="s">
        <v>224</v>
      </c>
      <c r="D180" s="348">
        <v>8</v>
      </c>
      <c r="E180" s="350">
        <v>170.85</v>
      </c>
      <c r="F180">
        <v>1</v>
      </c>
    </row>
    <row r="181" spans="1:6" ht="16.5" thickBot="1">
      <c r="A181" s="298">
        <v>2</v>
      </c>
      <c r="B181" s="538"/>
      <c r="C181" s="351" t="s">
        <v>225</v>
      </c>
      <c r="D181" s="352">
        <v>0.36</v>
      </c>
      <c r="E181" s="353">
        <v>1625.86</v>
      </c>
      <c r="F181">
        <v>1</v>
      </c>
    </row>
    <row r="182" spans="1:6" ht="15.75">
      <c r="A182" s="444">
        <v>1</v>
      </c>
      <c r="B182" s="523" t="s">
        <v>226</v>
      </c>
      <c r="C182" s="295" t="s">
        <v>227</v>
      </c>
      <c r="D182" s="296">
        <v>2.5</v>
      </c>
      <c r="E182" s="445">
        <v>19430</v>
      </c>
      <c r="F182">
        <v>1</v>
      </c>
    </row>
    <row r="183" spans="1:6" ht="15.75">
      <c r="A183" s="444">
        <v>2</v>
      </c>
      <c r="B183" s="523"/>
      <c r="C183" s="295" t="s">
        <v>228</v>
      </c>
      <c r="D183" s="296">
        <v>2.8</v>
      </c>
      <c r="E183" s="445">
        <v>37280</v>
      </c>
      <c r="F183">
        <v>1</v>
      </c>
    </row>
    <row r="184" spans="1:6" ht="16.5" thickBot="1">
      <c r="A184" s="446">
        <v>3</v>
      </c>
      <c r="B184" s="524"/>
      <c r="C184" s="357" t="s">
        <v>229</v>
      </c>
      <c r="D184" s="358">
        <v>1</v>
      </c>
      <c r="E184" s="447">
        <v>7520</v>
      </c>
      <c r="F184">
        <v>1</v>
      </c>
    </row>
    <row r="185" spans="1:6" ht="16.5" thickBot="1">
      <c r="A185" s="176">
        <v>1</v>
      </c>
      <c r="B185" s="361" t="s">
        <v>230</v>
      </c>
      <c r="C185" s="362" t="s">
        <v>231</v>
      </c>
      <c r="D185" s="361">
        <v>0.9</v>
      </c>
      <c r="E185" s="448">
        <v>14400</v>
      </c>
      <c r="F185">
        <v>1</v>
      </c>
    </row>
    <row r="186" spans="1:6" ht="15.75">
      <c r="A186" s="367">
        <v>1</v>
      </c>
      <c r="B186" s="525" t="s">
        <v>74</v>
      </c>
      <c r="C186" s="368" t="s">
        <v>232</v>
      </c>
      <c r="D186" s="369">
        <v>1.24</v>
      </c>
      <c r="E186" s="449">
        <v>37505</v>
      </c>
      <c r="F186">
        <v>1</v>
      </c>
    </row>
    <row r="187" spans="1:6" ht="15.75">
      <c r="A187" s="314">
        <v>2</v>
      </c>
      <c r="B187" s="523"/>
      <c r="C187" s="261" t="s">
        <v>233</v>
      </c>
      <c r="D187" s="262">
        <v>0.9</v>
      </c>
      <c r="E187" s="443">
        <v>6215</v>
      </c>
      <c r="F187">
        <v>1</v>
      </c>
    </row>
    <row r="188" spans="1:6" ht="15.75">
      <c r="A188" s="314">
        <v>3</v>
      </c>
      <c r="B188" s="523"/>
      <c r="C188" s="261" t="s">
        <v>234</v>
      </c>
      <c r="D188" s="245">
        <v>0.3</v>
      </c>
      <c r="E188" s="234">
        <v>8005</v>
      </c>
      <c r="F188">
        <v>1</v>
      </c>
    </row>
    <row r="189" spans="1:6" ht="15.75">
      <c r="A189" s="314">
        <v>4</v>
      </c>
      <c r="B189" s="523"/>
      <c r="C189" s="261" t="s">
        <v>235</v>
      </c>
      <c r="D189" s="277"/>
      <c r="E189" s="450">
        <v>2255</v>
      </c>
      <c r="F189">
        <v>1</v>
      </c>
    </row>
    <row r="190" spans="1:6" ht="15.75">
      <c r="A190" s="314">
        <v>5</v>
      </c>
      <c r="B190" s="523"/>
      <c r="C190" s="376" t="s">
        <v>236</v>
      </c>
      <c r="D190" s="262"/>
      <c r="E190" s="443">
        <v>1685</v>
      </c>
      <c r="F190">
        <v>1</v>
      </c>
    </row>
    <row r="191" spans="1:6" ht="15.75">
      <c r="A191" s="314">
        <v>6</v>
      </c>
      <c r="B191" s="523"/>
      <c r="C191" s="376" t="s">
        <v>237</v>
      </c>
      <c r="D191" s="262">
        <v>1.2</v>
      </c>
      <c r="E191" s="443">
        <v>10540</v>
      </c>
      <c r="F191">
        <v>1</v>
      </c>
    </row>
    <row r="192" spans="1:6" ht="15.75">
      <c r="A192" s="314">
        <v>7</v>
      </c>
      <c r="B192" s="523"/>
      <c r="C192" s="376" t="s">
        <v>238</v>
      </c>
      <c r="D192" s="262">
        <v>0.85</v>
      </c>
      <c r="E192" s="443">
        <v>8156</v>
      </c>
      <c r="F192">
        <v>1</v>
      </c>
    </row>
    <row r="193" spans="1:6" ht="15.75">
      <c r="A193" s="314">
        <v>8</v>
      </c>
      <c r="B193" s="523"/>
      <c r="C193" s="376" t="s">
        <v>239</v>
      </c>
      <c r="D193" s="262">
        <v>0.9</v>
      </c>
      <c r="E193" s="443">
        <v>6365</v>
      </c>
      <c r="F193">
        <v>1</v>
      </c>
    </row>
    <row r="194" spans="1:6" ht="15.75">
      <c r="A194" s="314">
        <v>9</v>
      </c>
      <c r="B194" s="523"/>
      <c r="C194" s="376" t="s">
        <v>240</v>
      </c>
      <c r="D194" s="262">
        <v>0.3</v>
      </c>
      <c r="E194" s="443">
        <v>4445</v>
      </c>
      <c r="F194">
        <v>1</v>
      </c>
    </row>
    <row r="195" spans="1:6" ht="15.75">
      <c r="A195" s="314">
        <v>10</v>
      </c>
      <c r="B195" s="523"/>
      <c r="C195" s="376" t="s">
        <v>241</v>
      </c>
      <c r="D195" s="262">
        <v>0.45</v>
      </c>
      <c r="E195" s="443">
        <v>5055</v>
      </c>
      <c r="F195">
        <v>1</v>
      </c>
    </row>
    <row r="196" spans="1:6" ht="15.75">
      <c r="A196" s="314">
        <v>11</v>
      </c>
      <c r="B196" s="523"/>
      <c r="C196" s="378" t="s">
        <v>242</v>
      </c>
      <c r="D196" s="379">
        <v>0.4</v>
      </c>
      <c r="E196" s="443"/>
      <c r="F196">
        <v>1</v>
      </c>
    </row>
    <row r="197" spans="1:6" ht="15.75">
      <c r="A197" s="314">
        <v>12</v>
      </c>
      <c r="B197" s="523"/>
      <c r="C197" s="378" t="s">
        <v>243</v>
      </c>
      <c r="D197" s="379">
        <v>0.2</v>
      </c>
      <c r="E197" s="443"/>
      <c r="F197">
        <v>1</v>
      </c>
    </row>
    <row r="198" spans="1:6" ht="16.5" thickBot="1">
      <c r="A198" s="380">
        <v>13</v>
      </c>
      <c r="B198" s="526"/>
      <c r="C198" s="381" t="s">
        <v>244</v>
      </c>
      <c r="D198" s="382">
        <v>0.9</v>
      </c>
      <c r="E198" s="451"/>
      <c r="F198">
        <v>1</v>
      </c>
    </row>
    <row r="199" spans="1:6" ht="15.75">
      <c r="A199" s="304">
        <v>1</v>
      </c>
      <c r="B199" s="536" t="s">
        <v>72</v>
      </c>
      <c r="C199" s="386" t="s">
        <v>245</v>
      </c>
      <c r="D199" s="328">
        <v>3.45</v>
      </c>
      <c r="E199" s="452">
        <v>182990</v>
      </c>
      <c r="F199">
        <v>1</v>
      </c>
    </row>
    <row r="200" spans="1:6" ht="15.75">
      <c r="A200" s="294">
        <v>2</v>
      </c>
      <c r="B200" s="537"/>
      <c r="C200" s="295" t="s">
        <v>246</v>
      </c>
      <c r="D200" s="245">
        <v>0.77</v>
      </c>
      <c r="E200" s="234">
        <v>11288</v>
      </c>
      <c r="F200">
        <v>1</v>
      </c>
    </row>
    <row r="201" spans="1:6" ht="15.75">
      <c r="A201" s="294">
        <v>3</v>
      </c>
      <c r="B201" s="537"/>
      <c r="C201" s="295" t="s">
        <v>247</v>
      </c>
      <c r="D201" s="245">
        <v>0.7</v>
      </c>
      <c r="E201" s="234">
        <v>19357</v>
      </c>
      <c r="F201">
        <v>1</v>
      </c>
    </row>
    <row r="202" spans="1:6" ht="15.75">
      <c r="A202" s="294">
        <v>4</v>
      </c>
      <c r="B202" s="537"/>
      <c r="C202" s="295" t="s">
        <v>248</v>
      </c>
      <c r="D202" s="245">
        <v>0.382</v>
      </c>
      <c r="E202" s="234">
        <v>2318</v>
      </c>
      <c r="F202">
        <v>1</v>
      </c>
    </row>
    <row r="203" spans="1:6" ht="15.75">
      <c r="A203" s="294">
        <v>5</v>
      </c>
      <c r="B203" s="537"/>
      <c r="C203" s="295" t="s">
        <v>249</v>
      </c>
      <c r="D203" s="245">
        <v>1.48</v>
      </c>
      <c r="E203" s="234">
        <v>21352</v>
      </c>
      <c r="F203">
        <v>1</v>
      </c>
    </row>
    <row r="204" spans="1:6" ht="15.75">
      <c r="A204" s="294">
        <v>6</v>
      </c>
      <c r="B204" s="537"/>
      <c r="C204" s="295" t="s">
        <v>250</v>
      </c>
      <c r="D204" s="245">
        <v>1.32</v>
      </c>
      <c r="E204" s="234">
        <v>24282</v>
      </c>
      <c r="F204">
        <v>1</v>
      </c>
    </row>
    <row r="205" spans="1:6" ht="15.75">
      <c r="A205" s="294">
        <v>7</v>
      </c>
      <c r="B205" s="537"/>
      <c r="C205" s="295" t="s">
        <v>251</v>
      </c>
      <c r="D205" s="245">
        <v>1.23</v>
      </c>
      <c r="E205" s="234">
        <v>25003</v>
      </c>
      <c r="F205">
        <v>1</v>
      </c>
    </row>
    <row r="206" spans="1:6" ht="15.75">
      <c r="A206" s="294">
        <v>8</v>
      </c>
      <c r="B206" s="537"/>
      <c r="C206" s="295" t="s">
        <v>252</v>
      </c>
      <c r="D206" s="245">
        <v>0.8</v>
      </c>
      <c r="E206" s="234">
        <v>25481</v>
      </c>
      <c r="F206">
        <v>1</v>
      </c>
    </row>
    <row r="207" spans="1:6" ht="15.75">
      <c r="A207" s="294">
        <v>9</v>
      </c>
      <c r="B207" s="537"/>
      <c r="C207" s="295" t="s">
        <v>253</v>
      </c>
      <c r="D207" s="245">
        <v>1.4</v>
      </c>
      <c r="E207" s="234">
        <v>63839</v>
      </c>
      <c r="F207">
        <v>1</v>
      </c>
    </row>
    <row r="208" spans="1:6" ht="15.75">
      <c r="A208" s="294">
        <v>10</v>
      </c>
      <c r="B208" s="537"/>
      <c r="C208" s="295" t="s">
        <v>254</v>
      </c>
      <c r="D208" s="245">
        <v>2.3</v>
      </c>
      <c r="E208" s="234">
        <v>39383</v>
      </c>
      <c r="F208">
        <v>1</v>
      </c>
    </row>
    <row r="209" spans="1:6" ht="15.75">
      <c r="A209" s="294">
        <v>11</v>
      </c>
      <c r="B209" s="537"/>
      <c r="C209" s="295" t="s">
        <v>255</v>
      </c>
      <c r="D209" s="245">
        <v>4.7</v>
      </c>
      <c r="E209" s="234">
        <v>74493</v>
      </c>
      <c r="F209">
        <v>1</v>
      </c>
    </row>
    <row r="210" spans="1:6" ht="31.5">
      <c r="A210" s="294">
        <v>12</v>
      </c>
      <c r="B210" s="537"/>
      <c r="C210" s="295" t="s">
        <v>256</v>
      </c>
      <c r="D210" s="245">
        <v>1.3</v>
      </c>
      <c r="E210" s="234">
        <v>9135</v>
      </c>
      <c r="F210">
        <v>1</v>
      </c>
    </row>
    <row r="211" spans="1:6" ht="15.75">
      <c r="A211" s="294">
        <v>13</v>
      </c>
      <c r="B211" s="537"/>
      <c r="C211" s="261" t="s">
        <v>257</v>
      </c>
      <c r="D211" s="245">
        <v>0.7</v>
      </c>
      <c r="E211" s="331">
        <v>109145.4</v>
      </c>
      <c r="F211">
        <v>1</v>
      </c>
    </row>
    <row r="212" spans="1:6" ht="15.75">
      <c r="A212" s="294">
        <v>14</v>
      </c>
      <c r="B212" s="537"/>
      <c r="C212" s="261" t="s">
        <v>258</v>
      </c>
      <c r="D212" s="245">
        <v>5.2</v>
      </c>
      <c r="E212" s="331">
        <v>157296.1</v>
      </c>
      <c r="F212">
        <v>1</v>
      </c>
    </row>
    <row r="213" spans="1:6" ht="15.75">
      <c r="A213" s="314">
        <v>15</v>
      </c>
      <c r="B213" s="537"/>
      <c r="C213" s="387" t="s">
        <v>259</v>
      </c>
      <c r="D213" s="388">
        <v>1.8</v>
      </c>
      <c r="E213" s="389"/>
      <c r="F213">
        <v>1</v>
      </c>
    </row>
    <row r="214" spans="1:6" ht="16.5" thickBot="1">
      <c r="A214" s="390">
        <v>16</v>
      </c>
      <c r="B214" s="537"/>
      <c r="C214" s="391" t="s">
        <v>260</v>
      </c>
      <c r="D214" s="392">
        <v>0.4</v>
      </c>
      <c r="E214" s="394"/>
      <c r="F214">
        <v>1</v>
      </c>
    </row>
    <row r="215" spans="1:6" ht="15.75">
      <c r="A215" s="304">
        <v>1</v>
      </c>
      <c r="B215" s="536" t="s">
        <v>261</v>
      </c>
      <c r="C215" s="386" t="s">
        <v>262</v>
      </c>
      <c r="D215" s="395">
        <v>4.8</v>
      </c>
      <c r="E215" s="453">
        <v>59275.38</v>
      </c>
      <c r="F215">
        <v>1</v>
      </c>
    </row>
    <row r="216" spans="1:6" ht="16.5" thickBot="1">
      <c r="A216" s="298">
        <v>2</v>
      </c>
      <c r="B216" s="538"/>
      <c r="C216" s="398" t="s">
        <v>263</v>
      </c>
      <c r="D216" s="399">
        <v>2</v>
      </c>
      <c r="E216" s="454">
        <v>20135.48</v>
      </c>
      <c r="F216">
        <v>1</v>
      </c>
    </row>
    <row r="217" spans="1:6" ht="15.75">
      <c r="A217" s="406"/>
      <c r="B217" s="536" t="s">
        <v>264</v>
      </c>
      <c r="C217" s="402" t="s">
        <v>265</v>
      </c>
      <c r="D217" s="403">
        <v>1.1</v>
      </c>
      <c r="E217" s="233"/>
      <c r="F217">
        <v>1</v>
      </c>
    </row>
    <row r="218" spans="1:6" ht="15.75">
      <c r="A218" s="294"/>
      <c r="B218" s="537"/>
      <c r="C218" s="295" t="s">
        <v>266</v>
      </c>
      <c r="D218" s="296">
        <v>3.3</v>
      </c>
      <c r="E218" s="455"/>
      <c r="F218">
        <v>1</v>
      </c>
    </row>
    <row r="219" spans="1:6" ht="15.75">
      <c r="A219" s="294"/>
      <c r="B219" s="537"/>
      <c r="C219" s="295" t="s">
        <v>267</v>
      </c>
      <c r="D219" s="296">
        <v>2.3</v>
      </c>
      <c r="E219" s="455"/>
      <c r="F219">
        <v>1</v>
      </c>
    </row>
    <row r="220" spans="1:6" ht="15.75">
      <c r="A220" s="294"/>
      <c r="B220" s="537"/>
      <c r="C220" s="295" t="s">
        <v>268</v>
      </c>
      <c r="D220" s="296">
        <v>0.7</v>
      </c>
      <c r="E220" s="455"/>
      <c r="F220">
        <v>1</v>
      </c>
    </row>
    <row r="221" spans="1:6" ht="15.75">
      <c r="A221" s="294"/>
      <c r="B221" s="537"/>
      <c r="C221" s="295" t="s">
        <v>269</v>
      </c>
      <c r="D221" s="296">
        <v>0.7</v>
      </c>
      <c r="E221" s="455"/>
      <c r="F221">
        <v>1</v>
      </c>
    </row>
    <row r="222" spans="1:6" ht="15.75">
      <c r="A222" s="294"/>
      <c r="B222" s="537"/>
      <c r="C222" s="295" t="s">
        <v>270</v>
      </c>
      <c r="D222" s="345">
        <v>2.8</v>
      </c>
      <c r="E222" s="455"/>
      <c r="F222">
        <v>1</v>
      </c>
    </row>
    <row r="223" spans="1:6" ht="15.75">
      <c r="A223" s="294"/>
      <c r="B223" s="537"/>
      <c r="C223" s="295" t="s">
        <v>271</v>
      </c>
      <c r="D223" s="345">
        <v>3.1</v>
      </c>
      <c r="E223" s="455"/>
      <c r="F223">
        <v>1</v>
      </c>
    </row>
    <row r="224" spans="1:6" ht="15.75">
      <c r="A224" s="294"/>
      <c r="B224" s="537"/>
      <c r="C224" s="295" t="s">
        <v>272</v>
      </c>
      <c r="D224" s="345">
        <v>2.5</v>
      </c>
      <c r="E224" s="455"/>
      <c r="F224">
        <v>1</v>
      </c>
    </row>
    <row r="225" spans="1:6" ht="15.75">
      <c r="A225" s="406"/>
      <c r="B225" s="537"/>
      <c r="C225" s="295" t="s">
        <v>273</v>
      </c>
      <c r="D225" s="345">
        <v>0.5</v>
      </c>
      <c r="E225" s="233"/>
      <c r="F225">
        <v>1</v>
      </c>
    </row>
    <row r="226" spans="1:6" ht="15.75">
      <c r="A226" s="294"/>
      <c r="B226" s="537"/>
      <c r="C226" s="295" t="s">
        <v>274</v>
      </c>
      <c r="D226" s="345">
        <v>1.2</v>
      </c>
      <c r="E226" s="455"/>
      <c r="F226">
        <v>1</v>
      </c>
    </row>
    <row r="227" spans="1:6" ht="15.75">
      <c r="A227" s="294"/>
      <c r="B227" s="537"/>
      <c r="C227" s="295" t="s">
        <v>275</v>
      </c>
      <c r="D227" s="345">
        <v>0.7</v>
      </c>
      <c r="E227" s="455"/>
      <c r="F227">
        <v>1</v>
      </c>
    </row>
    <row r="228" spans="1:6" ht="15.75">
      <c r="A228" s="294"/>
      <c r="B228" s="537"/>
      <c r="C228" s="295" t="s">
        <v>276</v>
      </c>
      <c r="D228" s="345">
        <v>3</v>
      </c>
      <c r="E228" s="455"/>
      <c r="F228">
        <v>1</v>
      </c>
    </row>
    <row r="229" spans="1:6" ht="15.75">
      <c r="A229" s="294"/>
      <c r="B229" s="537"/>
      <c r="C229" s="295" t="s">
        <v>277</v>
      </c>
      <c r="D229" s="345">
        <v>1.3</v>
      </c>
      <c r="E229" s="455"/>
      <c r="F229">
        <v>1</v>
      </c>
    </row>
    <row r="230" spans="1:6" ht="15.75">
      <c r="A230" s="294"/>
      <c r="B230" s="537"/>
      <c r="C230" s="295" t="s">
        <v>278</v>
      </c>
      <c r="D230" s="345">
        <v>1.4</v>
      </c>
      <c r="E230" s="455"/>
      <c r="F230">
        <v>1</v>
      </c>
    </row>
    <row r="231" spans="1:6" ht="15.75">
      <c r="A231" s="294"/>
      <c r="B231" s="537"/>
      <c r="C231" s="295" t="s">
        <v>279</v>
      </c>
      <c r="D231" s="345">
        <v>0.8</v>
      </c>
      <c r="E231" s="455"/>
      <c r="F231">
        <v>1</v>
      </c>
    </row>
    <row r="232" spans="1:6" ht="15.75">
      <c r="A232" s="294"/>
      <c r="B232" s="537"/>
      <c r="C232" s="295" t="s">
        <v>280</v>
      </c>
      <c r="D232" s="345">
        <v>1.6</v>
      </c>
      <c r="E232" s="455"/>
      <c r="F232">
        <v>1</v>
      </c>
    </row>
    <row r="233" spans="1:6" ht="15.75">
      <c r="A233" s="294"/>
      <c r="B233" s="537"/>
      <c r="C233" s="295" t="s">
        <v>281</v>
      </c>
      <c r="D233" s="345">
        <v>1.2</v>
      </c>
      <c r="E233" s="455"/>
      <c r="F233">
        <v>1</v>
      </c>
    </row>
    <row r="234" spans="1:6" ht="15.75">
      <c r="A234" s="294"/>
      <c r="B234" s="537"/>
      <c r="C234" s="332" t="s">
        <v>282</v>
      </c>
      <c r="D234" s="343">
        <v>1.2</v>
      </c>
      <c r="E234" s="455"/>
      <c r="F234">
        <v>1</v>
      </c>
    </row>
    <row r="235" spans="1:6" ht="15.75">
      <c r="A235" s="294"/>
      <c r="B235" s="537"/>
      <c r="C235" s="295" t="s">
        <v>283</v>
      </c>
      <c r="D235" s="345">
        <v>2</v>
      </c>
      <c r="E235" s="455"/>
      <c r="F235">
        <v>1</v>
      </c>
    </row>
    <row r="236" spans="1:6" ht="15.75">
      <c r="A236" s="408"/>
      <c r="B236" s="537"/>
      <c r="C236" s="357" t="s">
        <v>284</v>
      </c>
      <c r="D236" s="358">
        <v>4.2</v>
      </c>
      <c r="E236" s="456"/>
      <c r="F236">
        <v>1</v>
      </c>
    </row>
    <row r="237" spans="1:6" ht="15.75">
      <c r="A237" s="294"/>
      <c r="B237" s="527"/>
      <c r="C237" s="332" t="s">
        <v>285</v>
      </c>
      <c r="D237" s="411">
        <v>0.63</v>
      </c>
      <c r="E237" s="331"/>
      <c r="F237">
        <v>1</v>
      </c>
    </row>
    <row r="238" spans="1:5" ht="15.75">
      <c r="A238" s="294"/>
      <c r="B238" s="245"/>
      <c r="C238" s="295"/>
      <c r="D238" s="412">
        <f>SUM(D124:D237)</f>
        <v>213.47900000000004</v>
      </c>
      <c r="E238" s="457">
        <f>SUM(E124:E237)</f>
        <v>3528234.4499999997</v>
      </c>
    </row>
    <row r="239" spans="1:5" ht="16.5" thickBot="1">
      <c r="A239" s="408"/>
      <c r="B239" s="253"/>
      <c r="C239" s="413" t="s">
        <v>159</v>
      </c>
      <c r="D239" s="358"/>
      <c r="E239" s="410"/>
    </row>
    <row r="240" spans="1:5" ht="16.5" thickBot="1">
      <c r="A240" s="528" t="s">
        <v>106</v>
      </c>
      <c r="B240" s="529"/>
      <c r="C240" s="529"/>
      <c r="D240" s="529"/>
      <c r="E240" s="484"/>
    </row>
    <row r="241" spans="1:5" ht="15.75">
      <c r="A241" s="752" t="s">
        <v>286</v>
      </c>
      <c r="B241" s="486"/>
      <c r="C241" s="486"/>
      <c r="D241" s="486"/>
      <c r="E241" s="753"/>
    </row>
    <row r="242" spans="1:5" ht="15.75">
      <c r="A242" s="191">
        <v>1</v>
      </c>
      <c r="B242" s="537" t="s">
        <v>287</v>
      </c>
      <c r="C242" s="414" t="s">
        <v>106</v>
      </c>
      <c r="D242" s="269" t="s">
        <v>288</v>
      </c>
      <c r="E242" s="416">
        <v>149849.96</v>
      </c>
    </row>
    <row r="243" spans="1:5" ht="15.75">
      <c r="A243" s="62">
        <v>2</v>
      </c>
      <c r="B243" s="537"/>
      <c r="C243" s="261" t="s">
        <v>289</v>
      </c>
      <c r="D243" s="245" t="s">
        <v>290</v>
      </c>
      <c r="E243" s="293">
        <v>7270.2</v>
      </c>
    </row>
    <row r="244" spans="1:5" ht="15.75">
      <c r="A244" s="193">
        <v>3</v>
      </c>
      <c r="B244" s="537"/>
      <c r="C244" s="261" t="s">
        <v>291</v>
      </c>
      <c r="D244" s="245" t="s">
        <v>292</v>
      </c>
      <c r="E244" s="331">
        <v>10113.75</v>
      </c>
    </row>
    <row r="245" spans="1:5" ht="15.75">
      <c r="A245" s="418"/>
      <c r="B245" s="265"/>
      <c r="C245" s="419" t="s">
        <v>159</v>
      </c>
      <c r="D245" s="393"/>
      <c r="E245" s="458">
        <f>SUM(E242:E244)</f>
        <v>167233.91</v>
      </c>
    </row>
    <row r="246" spans="1:5" ht="15.75">
      <c r="A246" s="750" t="s">
        <v>293</v>
      </c>
      <c r="B246" s="707"/>
      <c r="C246" s="707"/>
      <c r="D246" s="707"/>
      <c r="E246" s="751"/>
    </row>
    <row r="247" spans="1:5" ht="15.75">
      <c r="A247" s="314">
        <v>1</v>
      </c>
      <c r="B247" s="421"/>
      <c r="C247" s="421" t="s">
        <v>106</v>
      </c>
      <c r="D247" s="262"/>
      <c r="E247" s="389"/>
    </row>
    <row r="248" spans="1:5" ht="16.5" thickBot="1">
      <c r="A248" s="380">
        <v>2</v>
      </c>
      <c r="B248" s="422"/>
      <c r="C248" s="422" t="s">
        <v>107</v>
      </c>
      <c r="D248" s="325"/>
      <c r="E248" s="326"/>
    </row>
    <row r="249" spans="1:5" ht="16.5" thickBot="1">
      <c r="A249" s="459"/>
      <c r="B249" s="428"/>
      <c r="C249" s="428"/>
      <c r="D249" s="87"/>
      <c r="E249" s="173"/>
    </row>
    <row r="250" spans="1:5" ht="16.5" thickBot="1">
      <c r="A250" s="5"/>
      <c r="B250" s="423"/>
      <c r="C250" s="424" t="s">
        <v>294</v>
      </c>
      <c r="D250" s="425">
        <f>D238+D116+D122</f>
        <v>242.17900000000003</v>
      </c>
      <c r="E250" s="427">
        <f>SUM(E245,E238,E116,E122)</f>
        <v>5454460.233999999</v>
      </c>
    </row>
  </sheetData>
  <mergeCells count="77">
    <mergeCell ref="A92:A93"/>
    <mergeCell ref="B92:B93"/>
    <mergeCell ref="A88:B88"/>
    <mergeCell ref="A89:E89"/>
    <mergeCell ref="A90:A91"/>
    <mergeCell ref="B90:B91"/>
    <mergeCell ref="A86:A87"/>
    <mergeCell ref="B86:B87"/>
    <mergeCell ref="A81:E81"/>
    <mergeCell ref="A83:A85"/>
    <mergeCell ref="B83:B85"/>
    <mergeCell ref="A78:A79"/>
    <mergeCell ref="B78:B79"/>
    <mergeCell ref="A74:E74"/>
    <mergeCell ref="A75:A77"/>
    <mergeCell ref="B75:B77"/>
    <mergeCell ref="A69:A71"/>
    <mergeCell ref="B69:B71"/>
    <mergeCell ref="A65:A68"/>
    <mergeCell ref="B65:B68"/>
    <mergeCell ref="A62:A64"/>
    <mergeCell ref="B62:B64"/>
    <mergeCell ref="A56:A61"/>
    <mergeCell ref="B56:B61"/>
    <mergeCell ref="A54:A55"/>
    <mergeCell ref="B54:B55"/>
    <mergeCell ref="A48:A53"/>
    <mergeCell ref="B48:B53"/>
    <mergeCell ref="A46:A47"/>
    <mergeCell ref="B46:B47"/>
    <mergeCell ref="A39:A45"/>
    <mergeCell ref="B39:B45"/>
    <mergeCell ref="A36:A38"/>
    <mergeCell ref="B36:B38"/>
    <mergeCell ref="A31:A35"/>
    <mergeCell ref="B31:B35"/>
    <mergeCell ref="A9:E9"/>
    <mergeCell ref="A10:A14"/>
    <mergeCell ref="B10:B14"/>
    <mergeCell ref="A19:A30"/>
    <mergeCell ref="B19:B30"/>
    <mergeCell ref="A15:A18"/>
    <mergeCell ref="B15:B18"/>
    <mergeCell ref="A1:E1"/>
    <mergeCell ref="A2:E2"/>
    <mergeCell ref="A3:E3"/>
    <mergeCell ref="A5:A7"/>
    <mergeCell ref="B5:B7"/>
    <mergeCell ref="C5:C7"/>
    <mergeCell ref="D5:D7"/>
    <mergeCell ref="E5:E7"/>
    <mergeCell ref="B165:B179"/>
    <mergeCell ref="B180:B181"/>
    <mergeCell ref="B182:B184"/>
    <mergeCell ref="A103:E103"/>
    <mergeCell ref="A104:E104"/>
    <mergeCell ref="A105:E105"/>
    <mergeCell ref="E107:E109"/>
    <mergeCell ref="A111:E111"/>
    <mergeCell ref="B112:B113"/>
    <mergeCell ref="A117:E117"/>
    <mergeCell ref="A246:E246"/>
    <mergeCell ref="B186:B198"/>
    <mergeCell ref="B199:B214"/>
    <mergeCell ref="B215:B216"/>
    <mergeCell ref="B217:B237"/>
    <mergeCell ref="A240:E240"/>
    <mergeCell ref="A241:E241"/>
    <mergeCell ref="B242:B244"/>
    <mergeCell ref="A107:A109"/>
    <mergeCell ref="B107:B109"/>
    <mergeCell ref="C107:C109"/>
    <mergeCell ref="D107:D109"/>
    <mergeCell ref="A123:E123"/>
    <mergeCell ref="B124:B133"/>
    <mergeCell ref="B134:B152"/>
    <mergeCell ref="B153:B164"/>
  </mergeCells>
  <printOptions/>
  <pageMargins left="0.47" right="0.39" top="0.39" bottom="0.35" header="0.24" footer="0.22"/>
  <pageSetup horizontalDpi="600" verticalDpi="600" orientation="portrait" paperSize="9" scale="73" r:id="rId1"/>
  <rowBreaks count="4" manualBreakCount="4">
    <brk id="64" max="255" man="1"/>
    <brk id="100" max="255" man="1"/>
    <brk id="164" max="255" man="1"/>
    <brk id="2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="75" zoomScaleNormal="75" workbookViewId="0" topLeftCell="A73">
      <selection activeCell="D23" sqref="D23"/>
    </sheetView>
  </sheetViews>
  <sheetFormatPr defaultColWidth="9.00390625" defaultRowHeight="12.75"/>
  <cols>
    <col min="1" max="1" width="4.75390625" style="1" customWidth="1"/>
    <col min="2" max="2" width="33.75390625" style="1" customWidth="1"/>
    <col min="3" max="3" width="27.625" style="1" customWidth="1"/>
    <col min="4" max="4" width="75.625" style="1" customWidth="1"/>
    <col min="5" max="5" width="11.375" style="33" customWidth="1"/>
    <col min="6" max="6" width="13.625" style="33" customWidth="1"/>
    <col min="7" max="7" width="10.25390625" style="33" customWidth="1"/>
    <col min="8" max="8" width="14.00390625" style="33" customWidth="1"/>
    <col min="9" max="9" width="14.375" style="33" customWidth="1"/>
    <col min="10" max="10" width="14.125" style="33" customWidth="1"/>
    <col min="11" max="11" width="17.625" style="33" customWidth="1"/>
    <col min="12" max="12" width="16.375" style="33" customWidth="1"/>
    <col min="13" max="16384" width="9.125" style="1" customWidth="1"/>
  </cols>
  <sheetData>
    <row r="1" spans="1:12" ht="22.5">
      <c r="A1" s="697" t="s">
        <v>85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ht="18.75">
      <c r="A2" s="698" t="s">
        <v>13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</row>
    <row r="3" spans="1:12" ht="18.75">
      <c r="A3" s="698" t="s">
        <v>18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</row>
    <row r="4" spans="1:3" ht="16.5" thickBot="1">
      <c r="A4" s="2"/>
      <c r="B4" s="2"/>
      <c r="C4" s="2"/>
    </row>
    <row r="5" spans="1:12" ht="16.5" customHeight="1" thickBot="1">
      <c r="A5" s="699" t="s">
        <v>20</v>
      </c>
      <c r="B5" s="699" t="s">
        <v>83</v>
      </c>
      <c r="C5" s="699" t="s">
        <v>84</v>
      </c>
      <c r="D5" s="699" t="s">
        <v>81</v>
      </c>
      <c r="E5" s="702" t="s">
        <v>87</v>
      </c>
      <c r="F5" s="670" t="s">
        <v>135</v>
      </c>
      <c r="G5" s="671"/>
      <c r="H5" s="671"/>
      <c r="I5" s="671"/>
      <c r="J5" s="672"/>
      <c r="K5" s="699" t="s">
        <v>130</v>
      </c>
      <c r="L5" s="699" t="s">
        <v>103</v>
      </c>
    </row>
    <row r="6" spans="1:12" ht="16.5" thickBot="1">
      <c r="A6" s="700"/>
      <c r="B6" s="700"/>
      <c r="C6" s="700"/>
      <c r="D6" s="700"/>
      <c r="E6" s="703"/>
      <c r="F6" s="699" t="s">
        <v>134</v>
      </c>
      <c r="G6" s="699" t="s">
        <v>98</v>
      </c>
      <c r="H6" s="530" t="s">
        <v>104</v>
      </c>
      <c r="I6" s="531"/>
      <c r="J6" s="532"/>
      <c r="K6" s="700"/>
      <c r="L6" s="700"/>
    </row>
    <row r="7" spans="1:12" ht="32.25" thickBot="1">
      <c r="A7" s="701"/>
      <c r="B7" s="701"/>
      <c r="C7" s="701"/>
      <c r="D7" s="701"/>
      <c r="E7" s="704"/>
      <c r="F7" s="701"/>
      <c r="G7" s="701"/>
      <c r="H7" s="45" t="s">
        <v>133</v>
      </c>
      <c r="I7" s="44" t="s">
        <v>132</v>
      </c>
      <c r="J7" s="44" t="s">
        <v>131</v>
      </c>
      <c r="K7" s="701"/>
      <c r="L7" s="701"/>
    </row>
    <row r="8" spans="1:12" ht="16.5" thickBot="1">
      <c r="A8" s="46">
        <v>1</v>
      </c>
      <c r="B8" s="46">
        <v>2</v>
      </c>
      <c r="C8" s="46">
        <v>3</v>
      </c>
      <c r="D8" s="47">
        <v>4</v>
      </c>
      <c r="E8" s="48">
        <v>5</v>
      </c>
      <c r="F8" s="41">
        <v>6</v>
      </c>
      <c r="G8" s="49">
        <v>7</v>
      </c>
      <c r="H8" s="42">
        <v>8</v>
      </c>
      <c r="I8" s="49">
        <v>9</v>
      </c>
      <c r="J8" s="43">
        <v>10</v>
      </c>
      <c r="K8" s="49">
        <v>11</v>
      </c>
      <c r="L8" s="50">
        <v>12</v>
      </c>
    </row>
    <row r="9" spans="1:12" ht="16.5" thickBot="1">
      <c r="A9" s="754" t="s">
        <v>137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15"/>
    </row>
    <row r="10" spans="1:12" ht="15.75" customHeight="1">
      <c r="A10" s="755">
        <v>1</v>
      </c>
      <c r="B10" s="755" t="s">
        <v>71</v>
      </c>
      <c r="C10" s="755" t="s">
        <v>128</v>
      </c>
      <c r="D10" s="51" t="s">
        <v>46</v>
      </c>
      <c r="E10" s="52">
        <f>2.18*2</f>
        <v>4.36</v>
      </c>
      <c r="F10" s="53">
        <v>57413</v>
      </c>
      <c r="G10" s="36">
        <v>75</v>
      </c>
      <c r="H10" s="53">
        <v>102</v>
      </c>
      <c r="I10" s="36"/>
      <c r="J10" s="53">
        <v>38</v>
      </c>
      <c r="K10" s="11">
        <v>103100000</v>
      </c>
      <c r="L10" s="770">
        <f>SUM(K10:K14)</f>
        <v>241270000</v>
      </c>
    </row>
    <row r="11" spans="1:12" ht="15.75">
      <c r="A11" s="756"/>
      <c r="B11" s="756"/>
      <c r="C11" s="756"/>
      <c r="D11" s="54" t="s">
        <v>26</v>
      </c>
      <c r="E11" s="55">
        <v>1.2</v>
      </c>
      <c r="F11" s="56">
        <v>13175</v>
      </c>
      <c r="G11" s="57">
        <v>112</v>
      </c>
      <c r="H11" s="56"/>
      <c r="I11" s="57">
        <v>262</v>
      </c>
      <c r="J11" s="56"/>
      <c r="K11" s="31">
        <v>21270000</v>
      </c>
      <c r="L11" s="771"/>
    </row>
    <row r="12" spans="1:12" ht="15.75">
      <c r="A12" s="756"/>
      <c r="B12" s="756"/>
      <c r="C12" s="756"/>
      <c r="D12" s="54" t="s">
        <v>33</v>
      </c>
      <c r="E12" s="55">
        <v>3.5</v>
      </c>
      <c r="F12" s="58">
        <v>69862</v>
      </c>
      <c r="G12" s="59">
        <v>51</v>
      </c>
      <c r="H12" s="58"/>
      <c r="I12" s="59">
        <v>968</v>
      </c>
      <c r="J12" s="58">
        <v>2420</v>
      </c>
      <c r="K12" s="31">
        <v>77150000</v>
      </c>
      <c r="L12" s="771"/>
    </row>
    <row r="13" spans="1:12" ht="15.75">
      <c r="A13" s="756"/>
      <c r="B13" s="756"/>
      <c r="C13" s="756"/>
      <c r="D13" s="60" t="s">
        <v>78</v>
      </c>
      <c r="E13" s="61">
        <v>2</v>
      </c>
      <c r="F13" s="62">
        <v>15016</v>
      </c>
      <c r="G13" s="56">
        <v>74</v>
      </c>
      <c r="H13" s="57"/>
      <c r="I13" s="56"/>
      <c r="J13" s="57"/>
      <c r="K13" s="63">
        <v>32350000</v>
      </c>
      <c r="L13" s="771"/>
    </row>
    <row r="14" spans="1:12" ht="32.25" thickBot="1">
      <c r="A14" s="756"/>
      <c r="B14" s="756"/>
      <c r="C14" s="756"/>
      <c r="D14" s="64" t="s">
        <v>100</v>
      </c>
      <c r="E14" s="65" t="s">
        <v>101</v>
      </c>
      <c r="F14" s="66">
        <v>5642</v>
      </c>
      <c r="G14" s="25">
        <v>16</v>
      </c>
      <c r="H14" s="67">
        <v>12.5</v>
      </c>
      <c r="I14" s="25">
        <v>25</v>
      </c>
      <c r="J14" s="66"/>
      <c r="K14" s="68">
        <v>7400000</v>
      </c>
      <c r="L14" s="772"/>
    </row>
    <row r="15" spans="1:12" ht="17.25" customHeight="1">
      <c r="A15" s="755">
        <v>2</v>
      </c>
      <c r="B15" s="755" t="s">
        <v>119</v>
      </c>
      <c r="C15" s="755" t="s">
        <v>129</v>
      </c>
      <c r="D15" s="69" t="s">
        <v>51</v>
      </c>
      <c r="E15" s="70">
        <v>0.4</v>
      </c>
      <c r="F15" s="53">
        <v>9850</v>
      </c>
      <c r="G15" s="36">
        <v>22</v>
      </c>
      <c r="H15" s="53"/>
      <c r="I15" s="36"/>
      <c r="J15" s="53"/>
      <c r="K15" s="11">
        <v>9400000</v>
      </c>
      <c r="L15" s="770">
        <f>SUM(K15:K18)</f>
        <v>57750000</v>
      </c>
    </row>
    <row r="16" spans="1:12" ht="15.75">
      <c r="A16" s="756"/>
      <c r="B16" s="756"/>
      <c r="C16" s="756"/>
      <c r="D16" s="71" t="s">
        <v>64</v>
      </c>
      <c r="E16" s="72">
        <v>0.66</v>
      </c>
      <c r="F16" s="58">
        <v>20234</v>
      </c>
      <c r="G16" s="59">
        <v>43</v>
      </c>
      <c r="H16" s="58">
        <v>130</v>
      </c>
      <c r="I16" s="59"/>
      <c r="J16" s="58"/>
      <c r="K16" s="15">
        <v>17600000</v>
      </c>
      <c r="L16" s="771"/>
    </row>
    <row r="17" spans="1:12" ht="15.75">
      <c r="A17" s="756"/>
      <c r="B17" s="756"/>
      <c r="C17" s="756"/>
      <c r="D17" s="73" t="s">
        <v>99</v>
      </c>
      <c r="E17" s="74">
        <v>0.51</v>
      </c>
      <c r="F17" s="57">
        <v>3392</v>
      </c>
      <c r="G17" s="56">
        <v>15</v>
      </c>
      <c r="H17" s="75"/>
      <c r="I17" s="56"/>
      <c r="J17" s="57"/>
      <c r="K17" s="63">
        <v>10650000</v>
      </c>
      <c r="L17" s="771"/>
    </row>
    <row r="18" spans="1:12" ht="16.5" thickBot="1">
      <c r="A18" s="757"/>
      <c r="B18" s="757"/>
      <c r="C18" s="757"/>
      <c r="D18" s="76" t="s">
        <v>113</v>
      </c>
      <c r="E18" s="77">
        <v>1.2</v>
      </c>
      <c r="F18" s="27">
        <v>20906</v>
      </c>
      <c r="G18" s="35"/>
      <c r="H18" s="27"/>
      <c r="I18" s="35"/>
      <c r="J18" s="27"/>
      <c r="K18" s="28">
        <v>20100000</v>
      </c>
      <c r="L18" s="772"/>
    </row>
    <row r="19" spans="1:12" ht="15.75">
      <c r="A19" s="755">
        <v>3</v>
      </c>
      <c r="B19" s="755" t="s">
        <v>72</v>
      </c>
      <c r="C19" s="758" t="s">
        <v>127</v>
      </c>
      <c r="D19" s="78" t="s">
        <v>47</v>
      </c>
      <c r="E19" s="52">
        <f>3.17*2</f>
        <v>6.34</v>
      </c>
      <c r="F19" s="53">
        <v>74054</v>
      </c>
      <c r="G19" s="36">
        <v>119</v>
      </c>
      <c r="H19" s="53">
        <v>130</v>
      </c>
      <c r="I19" s="36"/>
      <c r="J19" s="53">
        <v>558</v>
      </c>
      <c r="K19" s="11">
        <v>108500000</v>
      </c>
      <c r="L19" s="770">
        <f>SUM(K19:K30)</f>
        <v>642602740</v>
      </c>
    </row>
    <row r="20" spans="1:12" ht="15.75">
      <c r="A20" s="756"/>
      <c r="B20" s="756"/>
      <c r="C20" s="759"/>
      <c r="D20" s="79" t="s">
        <v>57</v>
      </c>
      <c r="E20" s="80">
        <v>1.8</v>
      </c>
      <c r="F20" s="56">
        <v>39534</v>
      </c>
      <c r="G20" s="57">
        <v>10</v>
      </c>
      <c r="H20" s="56"/>
      <c r="I20" s="57">
        <v>165</v>
      </c>
      <c r="J20" s="56"/>
      <c r="K20" s="12">
        <v>65000000</v>
      </c>
      <c r="L20" s="771"/>
    </row>
    <row r="21" spans="1:12" ht="15.75">
      <c r="A21" s="756"/>
      <c r="B21" s="756"/>
      <c r="C21" s="759"/>
      <c r="D21" s="71" t="s">
        <v>61</v>
      </c>
      <c r="E21" s="72">
        <v>2.2</v>
      </c>
      <c r="F21" s="56">
        <v>47500</v>
      </c>
      <c r="G21" s="57">
        <v>110</v>
      </c>
      <c r="H21" s="56"/>
      <c r="I21" s="57"/>
      <c r="J21" s="56"/>
      <c r="K21" s="15">
        <v>45200000</v>
      </c>
      <c r="L21" s="771"/>
    </row>
    <row r="22" spans="1:12" ht="15.75">
      <c r="A22" s="756"/>
      <c r="B22" s="756"/>
      <c r="C22" s="759"/>
      <c r="D22" s="81" t="s">
        <v>25</v>
      </c>
      <c r="E22" s="82">
        <v>1.6</v>
      </c>
      <c r="F22" s="56">
        <v>36900</v>
      </c>
      <c r="G22" s="57">
        <v>103</v>
      </c>
      <c r="H22" s="56"/>
      <c r="I22" s="57"/>
      <c r="J22" s="56"/>
      <c r="K22" s="16">
        <v>35400000</v>
      </c>
      <c r="L22" s="771"/>
    </row>
    <row r="23" spans="1:12" ht="15.75">
      <c r="A23" s="756"/>
      <c r="B23" s="756"/>
      <c r="C23" s="759"/>
      <c r="D23" s="81" t="s">
        <v>14</v>
      </c>
      <c r="E23" s="83">
        <v>2.9</v>
      </c>
      <c r="F23" s="56">
        <v>48350</v>
      </c>
      <c r="G23" s="57">
        <v>271</v>
      </c>
      <c r="H23" s="56"/>
      <c r="I23" s="57">
        <v>290</v>
      </c>
      <c r="J23" s="56">
        <v>309</v>
      </c>
      <c r="K23" s="16">
        <v>99750000</v>
      </c>
      <c r="L23" s="771"/>
    </row>
    <row r="24" spans="1:12" ht="15.75">
      <c r="A24" s="756"/>
      <c r="B24" s="756"/>
      <c r="C24" s="759"/>
      <c r="D24" s="84" t="s">
        <v>115</v>
      </c>
      <c r="E24" s="85"/>
      <c r="F24" s="86"/>
      <c r="G24" s="85"/>
      <c r="H24" s="87"/>
      <c r="I24" s="85"/>
      <c r="J24" s="87"/>
      <c r="K24" s="88">
        <v>11700000</v>
      </c>
      <c r="L24" s="771"/>
    </row>
    <row r="25" spans="1:12" ht="15.75">
      <c r="A25" s="756"/>
      <c r="B25" s="756"/>
      <c r="C25" s="759"/>
      <c r="D25" s="89" t="s">
        <v>92</v>
      </c>
      <c r="E25" s="56">
        <v>2.24</v>
      </c>
      <c r="F25" s="62">
        <v>46451</v>
      </c>
      <c r="G25" s="56">
        <v>175</v>
      </c>
      <c r="H25" s="57">
        <v>42</v>
      </c>
      <c r="I25" s="56"/>
      <c r="J25" s="57"/>
      <c r="K25" s="63">
        <v>93546600</v>
      </c>
      <c r="L25" s="771"/>
    </row>
    <row r="26" spans="1:12" ht="15.75">
      <c r="A26" s="756"/>
      <c r="B26" s="756"/>
      <c r="C26" s="759"/>
      <c r="D26" s="84" t="s">
        <v>94</v>
      </c>
      <c r="E26" s="85">
        <v>5.4</v>
      </c>
      <c r="F26" s="86">
        <v>59700</v>
      </c>
      <c r="G26" s="85">
        <v>207</v>
      </c>
      <c r="H26" s="87"/>
      <c r="I26" s="85"/>
      <c r="J26" s="87"/>
      <c r="K26" s="90">
        <v>61126140</v>
      </c>
      <c r="L26" s="771"/>
    </row>
    <row r="27" spans="1:12" ht="15.75">
      <c r="A27" s="756"/>
      <c r="B27" s="756"/>
      <c r="C27" s="759"/>
      <c r="D27" s="81" t="s">
        <v>27</v>
      </c>
      <c r="E27" s="83">
        <v>1.63</v>
      </c>
      <c r="F27" s="56">
        <v>28600</v>
      </c>
      <c r="G27" s="57">
        <v>154</v>
      </c>
      <c r="H27" s="56"/>
      <c r="I27" s="57"/>
      <c r="J27" s="56"/>
      <c r="K27" s="16">
        <v>27700000</v>
      </c>
      <c r="L27" s="771"/>
    </row>
    <row r="28" spans="1:12" ht="15.75">
      <c r="A28" s="756"/>
      <c r="B28" s="756"/>
      <c r="C28" s="759"/>
      <c r="D28" s="91" t="s">
        <v>42</v>
      </c>
      <c r="E28" s="92"/>
      <c r="F28" s="56">
        <v>9455</v>
      </c>
      <c r="G28" s="57"/>
      <c r="H28" s="56">
        <v>101</v>
      </c>
      <c r="I28" s="57"/>
      <c r="J28" s="56"/>
      <c r="K28" s="16">
        <v>33300000</v>
      </c>
      <c r="L28" s="771"/>
    </row>
    <row r="29" spans="1:12" ht="15.75">
      <c r="A29" s="756"/>
      <c r="B29" s="756"/>
      <c r="C29" s="759"/>
      <c r="D29" s="89" t="s">
        <v>116</v>
      </c>
      <c r="E29" s="56"/>
      <c r="F29" s="62"/>
      <c r="G29" s="56"/>
      <c r="H29" s="57"/>
      <c r="I29" s="56"/>
      <c r="J29" s="57"/>
      <c r="K29" s="63">
        <v>45480000</v>
      </c>
      <c r="L29" s="771"/>
    </row>
    <row r="30" spans="1:12" ht="17.25" customHeight="1" thickBot="1">
      <c r="A30" s="757"/>
      <c r="B30" s="757"/>
      <c r="C30" s="760"/>
      <c r="D30" s="93" t="s">
        <v>79</v>
      </c>
      <c r="E30" s="94"/>
      <c r="F30" s="95">
        <v>10012</v>
      </c>
      <c r="G30" s="96">
        <v>18</v>
      </c>
      <c r="H30" s="95">
        <v>30</v>
      </c>
      <c r="I30" s="96">
        <v>270</v>
      </c>
      <c r="J30" s="95"/>
      <c r="K30" s="14">
        <v>15900000</v>
      </c>
      <c r="L30" s="772"/>
    </row>
    <row r="31" spans="1:12" ht="15.75">
      <c r="A31" s="756">
        <v>4</v>
      </c>
      <c r="B31" s="756" t="s">
        <v>44</v>
      </c>
      <c r="C31" s="759" t="s">
        <v>126</v>
      </c>
      <c r="D31" s="97" t="s">
        <v>70</v>
      </c>
      <c r="E31" s="98">
        <v>1.1</v>
      </c>
      <c r="F31" s="99">
        <v>13629</v>
      </c>
      <c r="G31" s="100">
        <v>18</v>
      </c>
      <c r="H31" s="99"/>
      <c r="I31" s="100">
        <v>45</v>
      </c>
      <c r="J31" s="99"/>
      <c r="K31" s="11">
        <v>19500000</v>
      </c>
      <c r="L31" s="770">
        <f>SUM(K31:K35)</f>
        <v>268500000</v>
      </c>
    </row>
    <row r="32" spans="1:12" ht="15.75">
      <c r="A32" s="756"/>
      <c r="B32" s="756"/>
      <c r="C32" s="759"/>
      <c r="D32" s="101" t="s">
        <v>50</v>
      </c>
      <c r="E32" s="102">
        <v>0.8</v>
      </c>
      <c r="F32" s="56">
        <v>8473</v>
      </c>
      <c r="G32" s="57"/>
      <c r="H32" s="56"/>
      <c r="I32" s="57">
        <v>549</v>
      </c>
      <c r="J32" s="56"/>
      <c r="K32" s="17">
        <v>9980000</v>
      </c>
      <c r="L32" s="771"/>
    </row>
    <row r="33" spans="1:12" ht="15.75">
      <c r="A33" s="756"/>
      <c r="B33" s="756"/>
      <c r="C33" s="759"/>
      <c r="D33" s="71" t="s">
        <v>63</v>
      </c>
      <c r="E33" s="103">
        <v>4.6</v>
      </c>
      <c r="F33" s="58">
        <v>109007</v>
      </c>
      <c r="G33" s="59">
        <v>46</v>
      </c>
      <c r="H33" s="58"/>
      <c r="I33" s="59">
        <v>308</v>
      </c>
      <c r="J33" s="58"/>
      <c r="K33" s="15">
        <v>137000000</v>
      </c>
      <c r="L33" s="771"/>
    </row>
    <row r="34" spans="1:12" ht="31.5">
      <c r="A34" s="756"/>
      <c r="B34" s="756"/>
      <c r="C34" s="759"/>
      <c r="D34" s="89" t="s">
        <v>118</v>
      </c>
      <c r="E34" s="56">
        <v>1.12</v>
      </c>
      <c r="F34" s="62">
        <v>13584</v>
      </c>
      <c r="G34" s="56">
        <v>10</v>
      </c>
      <c r="H34" s="57"/>
      <c r="I34" s="56">
        <v>600</v>
      </c>
      <c r="J34" s="57"/>
      <c r="K34" s="63">
        <v>20020000</v>
      </c>
      <c r="L34" s="771"/>
    </row>
    <row r="35" spans="1:12" ht="16.5" thickBot="1">
      <c r="A35" s="756"/>
      <c r="B35" s="756"/>
      <c r="C35" s="759"/>
      <c r="D35" s="104" t="s">
        <v>22</v>
      </c>
      <c r="E35" s="105">
        <v>3</v>
      </c>
      <c r="F35" s="85">
        <v>56435</v>
      </c>
      <c r="G35" s="87">
        <v>40</v>
      </c>
      <c r="H35" s="85"/>
      <c r="I35" s="87">
        <v>236</v>
      </c>
      <c r="J35" s="85"/>
      <c r="K35" s="28">
        <v>82000000</v>
      </c>
      <c r="L35" s="772"/>
    </row>
    <row r="36" spans="1:12" ht="15.75">
      <c r="A36" s="755">
        <v>5</v>
      </c>
      <c r="B36" s="755" t="s">
        <v>43</v>
      </c>
      <c r="C36" s="758" t="s">
        <v>123</v>
      </c>
      <c r="D36" s="106" t="s">
        <v>48</v>
      </c>
      <c r="E36" s="107">
        <v>1.42</v>
      </c>
      <c r="F36" s="26">
        <v>25784</v>
      </c>
      <c r="G36" s="108">
        <v>59</v>
      </c>
      <c r="H36" s="26">
        <v>76</v>
      </c>
      <c r="I36" s="108">
        <v>210</v>
      </c>
      <c r="J36" s="26"/>
      <c r="K36" s="29">
        <v>31500000</v>
      </c>
      <c r="L36" s="770">
        <f>SUM(K36:K38)</f>
        <v>128394000</v>
      </c>
    </row>
    <row r="37" spans="1:12" ht="15.75">
      <c r="A37" s="756"/>
      <c r="B37" s="756"/>
      <c r="C37" s="759"/>
      <c r="D37" s="91" t="s">
        <v>95</v>
      </c>
      <c r="E37" s="57">
        <v>1.24</v>
      </c>
      <c r="F37" s="56">
        <v>144438</v>
      </c>
      <c r="G37" s="57"/>
      <c r="H37" s="56"/>
      <c r="I37" s="57">
        <v>670</v>
      </c>
      <c r="J37" s="56">
        <v>70</v>
      </c>
      <c r="K37" s="109">
        <v>12194000</v>
      </c>
      <c r="L37" s="771"/>
    </row>
    <row r="38" spans="1:12" ht="16.5" thickBot="1">
      <c r="A38" s="757"/>
      <c r="B38" s="757"/>
      <c r="C38" s="760"/>
      <c r="D38" s="110" t="s">
        <v>49</v>
      </c>
      <c r="E38" s="111">
        <v>4.2</v>
      </c>
      <c r="F38" s="27">
        <v>91168</v>
      </c>
      <c r="G38" s="35"/>
      <c r="H38" s="27"/>
      <c r="I38" s="35"/>
      <c r="J38" s="27">
        <v>894</v>
      </c>
      <c r="K38" s="30">
        <v>84700000</v>
      </c>
      <c r="L38" s="772"/>
    </row>
    <row r="39" spans="1:12" ht="15.75">
      <c r="A39" s="756">
        <v>6</v>
      </c>
      <c r="B39" s="756" t="s">
        <v>1</v>
      </c>
      <c r="C39" s="759" t="s">
        <v>120</v>
      </c>
      <c r="D39" s="101" t="s">
        <v>52</v>
      </c>
      <c r="E39" s="102">
        <v>4.4</v>
      </c>
      <c r="F39" s="99">
        <v>64200</v>
      </c>
      <c r="G39" s="100">
        <v>49</v>
      </c>
      <c r="H39" s="99"/>
      <c r="I39" s="112">
        <v>8000</v>
      </c>
      <c r="J39" s="99"/>
      <c r="K39" s="11">
        <v>70700000</v>
      </c>
      <c r="L39" s="770">
        <f>SUM(K39:K45)</f>
        <v>475006000</v>
      </c>
    </row>
    <row r="40" spans="1:12" ht="15.75">
      <c r="A40" s="756"/>
      <c r="B40" s="756"/>
      <c r="C40" s="759"/>
      <c r="D40" s="81" t="s">
        <v>114</v>
      </c>
      <c r="E40" s="113">
        <v>4.2</v>
      </c>
      <c r="F40" s="56">
        <v>46731</v>
      </c>
      <c r="G40" s="57">
        <v>65</v>
      </c>
      <c r="H40" s="56"/>
      <c r="I40" s="57">
        <v>3600</v>
      </c>
      <c r="J40" s="56"/>
      <c r="K40" s="12">
        <v>98800000</v>
      </c>
      <c r="L40" s="771"/>
    </row>
    <row r="41" spans="1:12" ht="15.75">
      <c r="A41" s="756"/>
      <c r="B41" s="756"/>
      <c r="C41" s="759"/>
      <c r="D41" s="81" t="s">
        <v>58</v>
      </c>
      <c r="E41" s="114">
        <v>2</v>
      </c>
      <c r="F41" s="56">
        <v>28800</v>
      </c>
      <c r="G41" s="57">
        <v>76</v>
      </c>
      <c r="H41" s="56"/>
      <c r="I41" s="57">
        <v>9200</v>
      </c>
      <c r="J41" s="56"/>
      <c r="K41" s="12">
        <v>47800000</v>
      </c>
      <c r="L41" s="771"/>
    </row>
    <row r="42" spans="1:12" ht="15.75">
      <c r="A42" s="756"/>
      <c r="B42" s="756"/>
      <c r="C42" s="759"/>
      <c r="D42" s="81" t="s">
        <v>68</v>
      </c>
      <c r="E42" s="113">
        <v>1.3</v>
      </c>
      <c r="F42" s="56">
        <v>29672</v>
      </c>
      <c r="G42" s="57">
        <v>35</v>
      </c>
      <c r="H42" s="56"/>
      <c r="I42" s="57">
        <v>500</v>
      </c>
      <c r="J42" s="56"/>
      <c r="K42" s="12">
        <v>72600000</v>
      </c>
      <c r="L42" s="771"/>
    </row>
    <row r="43" spans="1:12" ht="15.75">
      <c r="A43" s="756"/>
      <c r="B43" s="756"/>
      <c r="C43" s="759"/>
      <c r="D43" s="81" t="s">
        <v>39</v>
      </c>
      <c r="E43" s="115">
        <v>1.3</v>
      </c>
      <c r="F43" s="56">
        <v>25264</v>
      </c>
      <c r="G43" s="57">
        <v>40</v>
      </c>
      <c r="H43" s="56"/>
      <c r="I43" s="57">
        <v>3024</v>
      </c>
      <c r="J43" s="56"/>
      <c r="K43" s="16">
        <v>73708000</v>
      </c>
      <c r="L43" s="771"/>
    </row>
    <row r="44" spans="1:12" ht="15.75">
      <c r="A44" s="756"/>
      <c r="B44" s="756"/>
      <c r="C44" s="759"/>
      <c r="D44" s="81" t="s">
        <v>29</v>
      </c>
      <c r="E44" s="82">
        <v>1.74</v>
      </c>
      <c r="F44" s="56">
        <v>28200</v>
      </c>
      <c r="G44" s="57">
        <v>35</v>
      </c>
      <c r="H44" s="56"/>
      <c r="I44" s="57">
        <v>2150</v>
      </c>
      <c r="J44" s="56"/>
      <c r="K44" s="16">
        <v>72633000</v>
      </c>
      <c r="L44" s="771"/>
    </row>
    <row r="45" spans="1:12" ht="16.5" thickBot="1">
      <c r="A45" s="756"/>
      <c r="B45" s="756"/>
      <c r="C45" s="759"/>
      <c r="D45" s="54" t="s">
        <v>40</v>
      </c>
      <c r="E45" s="116">
        <v>1.62</v>
      </c>
      <c r="F45" s="58">
        <v>16690</v>
      </c>
      <c r="G45" s="59"/>
      <c r="H45" s="58"/>
      <c r="I45" s="59">
        <v>3200</v>
      </c>
      <c r="J45" s="58"/>
      <c r="K45" s="14">
        <v>38765000</v>
      </c>
      <c r="L45" s="772"/>
    </row>
    <row r="46" spans="1:12" ht="15.75">
      <c r="A46" s="755">
        <v>7</v>
      </c>
      <c r="B46" s="755" t="s">
        <v>0</v>
      </c>
      <c r="C46" s="755" t="s">
        <v>90</v>
      </c>
      <c r="D46" s="117" t="s">
        <v>53</v>
      </c>
      <c r="E46" s="70">
        <v>1.7</v>
      </c>
      <c r="F46" s="53">
        <v>17487</v>
      </c>
      <c r="G46" s="36">
        <v>13</v>
      </c>
      <c r="H46" s="53"/>
      <c r="I46" s="36">
        <v>120</v>
      </c>
      <c r="J46" s="53"/>
      <c r="K46" s="11">
        <v>29750000</v>
      </c>
      <c r="L46" s="770">
        <f>SUM(K46:K47)</f>
        <v>41950000</v>
      </c>
    </row>
    <row r="47" spans="1:12" ht="16.5" thickBot="1">
      <c r="A47" s="757"/>
      <c r="B47" s="757"/>
      <c r="C47" s="757"/>
      <c r="D47" s="118" t="s">
        <v>56</v>
      </c>
      <c r="E47" s="119">
        <v>0.9</v>
      </c>
      <c r="F47" s="95">
        <v>10685</v>
      </c>
      <c r="G47" s="96">
        <v>31</v>
      </c>
      <c r="H47" s="95"/>
      <c r="I47" s="96">
        <v>410</v>
      </c>
      <c r="J47" s="95"/>
      <c r="K47" s="18">
        <v>12200000</v>
      </c>
      <c r="L47" s="772"/>
    </row>
    <row r="48" spans="1:12" ht="15.75">
      <c r="A48" s="756">
        <v>8</v>
      </c>
      <c r="B48" s="756" t="s">
        <v>73</v>
      </c>
      <c r="C48" s="756" t="s">
        <v>75</v>
      </c>
      <c r="D48" s="120" t="s">
        <v>54</v>
      </c>
      <c r="E48" s="121">
        <v>2.9</v>
      </c>
      <c r="F48" s="122">
        <v>65563.8</v>
      </c>
      <c r="G48" s="100">
        <v>136</v>
      </c>
      <c r="H48" s="99"/>
      <c r="I48" s="100">
        <v>6496</v>
      </c>
      <c r="J48" s="99"/>
      <c r="K48" s="11">
        <v>72998050</v>
      </c>
      <c r="L48" s="770">
        <f>SUM(K48:K53)</f>
        <v>274792380</v>
      </c>
    </row>
    <row r="49" spans="1:12" ht="15.75">
      <c r="A49" s="756"/>
      <c r="B49" s="756"/>
      <c r="C49" s="756"/>
      <c r="D49" s="71" t="s">
        <v>60</v>
      </c>
      <c r="E49" s="123">
        <v>2.1</v>
      </c>
      <c r="F49" s="56">
        <v>11235</v>
      </c>
      <c r="G49" s="57">
        <v>36</v>
      </c>
      <c r="H49" s="56"/>
      <c r="I49" s="57"/>
      <c r="J49" s="56"/>
      <c r="K49" s="15">
        <v>9470770</v>
      </c>
      <c r="L49" s="771"/>
    </row>
    <row r="50" spans="1:12" ht="15.75">
      <c r="A50" s="756"/>
      <c r="B50" s="756"/>
      <c r="C50" s="756"/>
      <c r="D50" s="81" t="s">
        <v>32</v>
      </c>
      <c r="E50" s="83">
        <v>1.98</v>
      </c>
      <c r="F50" s="56">
        <v>40240</v>
      </c>
      <c r="G50" s="57">
        <v>56</v>
      </c>
      <c r="H50" s="56"/>
      <c r="I50" s="124">
        <v>1022.4</v>
      </c>
      <c r="J50" s="56"/>
      <c r="K50" s="16">
        <v>61758780</v>
      </c>
      <c r="L50" s="771"/>
    </row>
    <row r="51" spans="1:12" ht="15.75">
      <c r="A51" s="756"/>
      <c r="B51" s="756"/>
      <c r="C51" s="756"/>
      <c r="D51" s="125" t="s">
        <v>37</v>
      </c>
      <c r="E51" s="126">
        <v>1.2</v>
      </c>
      <c r="F51" s="58">
        <v>11153</v>
      </c>
      <c r="G51" s="59">
        <v>19</v>
      </c>
      <c r="H51" s="58"/>
      <c r="I51" s="59"/>
      <c r="J51" s="58"/>
      <c r="K51" s="31">
        <v>15739800</v>
      </c>
      <c r="L51" s="771"/>
    </row>
    <row r="52" spans="1:12" ht="17.25" customHeight="1">
      <c r="A52" s="756"/>
      <c r="B52" s="756"/>
      <c r="C52" s="756"/>
      <c r="D52" s="60" t="s">
        <v>93</v>
      </c>
      <c r="E52" s="56">
        <v>3.46</v>
      </c>
      <c r="F52" s="127">
        <v>186483.2</v>
      </c>
      <c r="G52" s="56">
        <v>228</v>
      </c>
      <c r="H52" s="57">
        <v>1178</v>
      </c>
      <c r="I52" s="56"/>
      <c r="J52" s="57"/>
      <c r="K52" s="63">
        <v>83255000</v>
      </c>
      <c r="L52" s="771"/>
    </row>
    <row r="53" spans="1:12" ht="16.5" thickBot="1">
      <c r="A53" s="756"/>
      <c r="B53" s="756"/>
      <c r="C53" s="756"/>
      <c r="D53" s="128" t="s">
        <v>36</v>
      </c>
      <c r="E53" s="129">
        <v>1.2</v>
      </c>
      <c r="F53" s="85">
        <v>12416</v>
      </c>
      <c r="G53" s="87"/>
      <c r="H53" s="85"/>
      <c r="I53" s="87"/>
      <c r="J53" s="85"/>
      <c r="K53" s="32">
        <v>31569980</v>
      </c>
      <c r="L53" s="772"/>
    </row>
    <row r="54" spans="1:12" ht="15.75">
      <c r="A54" s="755">
        <v>9</v>
      </c>
      <c r="B54" s="755" t="s">
        <v>17</v>
      </c>
      <c r="C54" s="755" t="s">
        <v>76</v>
      </c>
      <c r="D54" s="69" t="s">
        <v>55</v>
      </c>
      <c r="E54" s="130">
        <v>9</v>
      </c>
      <c r="F54" s="53">
        <v>135563</v>
      </c>
      <c r="G54" s="36">
        <v>17</v>
      </c>
      <c r="H54" s="53"/>
      <c r="I54" s="36"/>
      <c r="J54" s="53">
        <v>1357</v>
      </c>
      <c r="K54" s="11">
        <v>110350000</v>
      </c>
      <c r="L54" s="770">
        <f>SUM(K54:K55)</f>
        <v>187850000</v>
      </c>
    </row>
    <row r="55" spans="1:12" ht="16.5" thickBot="1">
      <c r="A55" s="757"/>
      <c r="B55" s="757"/>
      <c r="C55" s="757"/>
      <c r="D55" s="118" t="s">
        <v>59</v>
      </c>
      <c r="E55" s="131">
        <v>5.5</v>
      </c>
      <c r="F55" s="95">
        <v>86149</v>
      </c>
      <c r="G55" s="96">
        <v>25</v>
      </c>
      <c r="H55" s="95"/>
      <c r="I55" s="96">
        <v>6400</v>
      </c>
      <c r="J55" s="95"/>
      <c r="K55" s="18">
        <v>77500000</v>
      </c>
      <c r="L55" s="772"/>
    </row>
    <row r="56" spans="1:12" ht="15.75">
      <c r="A56" s="755">
        <v>10</v>
      </c>
      <c r="B56" s="755" t="s">
        <v>21</v>
      </c>
      <c r="C56" s="758" t="s">
        <v>125</v>
      </c>
      <c r="D56" s="132" t="s">
        <v>24</v>
      </c>
      <c r="E56" s="70">
        <v>1.4</v>
      </c>
      <c r="F56" s="53">
        <v>15286</v>
      </c>
      <c r="G56" s="36">
        <v>13</v>
      </c>
      <c r="H56" s="53"/>
      <c r="I56" s="36">
        <v>1864</v>
      </c>
      <c r="J56" s="53"/>
      <c r="K56" s="11">
        <v>19392375</v>
      </c>
      <c r="L56" s="770">
        <f>SUM(K56:K61)</f>
        <v>358091071</v>
      </c>
    </row>
    <row r="57" spans="1:12" ht="31.5">
      <c r="A57" s="756"/>
      <c r="B57" s="756"/>
      <c r="C57" s="759"/>
      <c r="D57" s="133" t="s">
        <v>62</v>
      </c>
      <c r="E57" s="134">
        <v>6.5</v>
      </c>
      <c r="F57" s="135">
        <v>71284</v>
      </c>
      <c r="G57" s="136">
        <v>112</v>
      </c>
      <c r="H57" s="135"/>
      <c r="I57" s="136">
        <v>2440</v>
      </c>
      <c r="J57" s="56"/>
      <c r="K57" s="12">
        <v>80450421</v>
      </c>
      <c r="L57" s="771"/>
    </row>
    <row r="58" spans="1:12" ht="15.75">
      <c r="A58" s="756"/>
      <c r="B58" s="756"/>
      <c r="C58" s="759"/>
      <c r="D58" s="238" t="s">
        <v>66</v>
      </c>
      <c r="E58" s="239">
        <v>2.6</v>
      </c>
      <c r="F58" s="240">
        <v>33107</v>
      </c>
      <c r="G58" s="241">
        <v>91</v>
      </c>
      <c r="H58" s="240">
        <v>677</v>
      </c>
      <c r="I58" s="241">
        <v>85</v>
      </c>
      <c r="J58" s="240"/>
      <c r="K58" s="242">
        <v>37290442</v>
      </c>
      <c r="L58" s="771"/>
    </row>
    <row r="59" spans="1:12" ht="15.75">
      <c r="A59" s="756"/>
      <c r="B59" s="756"/>
      <c r="C59" s="759"/>
      <c r="D59" s="138" t="s">
        <v>23</v>
      </c>
      <c r="E59" s="82">
        <v>2.3</v>
      </c>
      <c r="F59" s="56">
        <v>40000</v>
      </c>
      <c r="G59" s="57">
        <v>22</v>
      </c>
      <c r="H59" s="56"/>
      <c r="I59" s="57">
        <v>5100</v>
      </c>
      <c r="J59" s="56"/>
      <c r="K59" s="16">
        <v>102000000</v>
      </c>
      <c r="L59" s="771"/>
    </row>
    <row r="60" spans="1:12" ht="15.75">
      <c r="A60" s="756"/>
      <c r="B60" s="756"/>
      <c r="C60" s="759"/>
      <c r="D60" s="138" t="s">
        <v>28</v>
      </c>
      <c r="E60" s="83">
        <v>2.4</v>
      </c>
      <c r="F60" s="56">
        <v>47450</v>
      </c>
      <c r="G60" s="57">
        <v>198</v>
      </c>
      <c r="H60" s="56"/>
      <c r="I60" s="57"/>
      <c r="J60" s="56"/>
      <c r="K60" s="16">
        <v>83100000</v>
      </c>
      <c r="L60" s="771"/>
    </row>
    <row r="61" spans="1:12" ht="16.5" thickBot="1">
      <c r="A61" s="757"/>
      <c r="B61" s="757"/>
      <c r="C61" s="760"/>
      <c r="D61" s="139" t="s">
        <v>67</v>
      </c>
      <c r="E61" s="140">
        <v>1.2</v>
      </c>
      <c r="F61" s="95">
        <v>22210</v>
      </c>
      <c r="G61" s="96">
        <v>25</v>
      </c>
      <c r="H61" s="95"/>
      <c r="I61" s="96">
        <v>3186</v>
      </c>
      <c r="J61" s="95"/>
      <c r="K61" s="18">
        <v>35857833</v>
      </c>
      <c r="L61" s="772"/>
    </row>
    <row r="62" spans="1:12" ht="15.75">
      <c r="A62" s="755">
        <v>11</v>
      </c>
      <c r="B62" s="755" t="s">
        <v>91</v>
      </c>
      <c r="C62" s="755" t="s">
        <v>77</v>
      </c>
      <c r="D62" s="141" t="s">
        <v>65</v>
      </c>
      <c r="E62" s="142">
        <v>1.2</v>
      </c>
      <c r="F62" s="53">
        <v>22450</v>
      </c>
      <c r="G62" s="36">
        <v>65</v>
      </c>
      <c r="H62" s="53"/>
      <c r="I62" s="36">
        <v>30</v>
      </c>
      <c r="J62" s="53"/>
      <c r="K62" s="11">
        <v>22267000</v>
      </c>
      <c r="L62" s="770">
        <f>SUM(K62:K64)</f>
        <v>142421420</v>
      </c>
    </row>
    <row r="63" spans="1:12" ht="15.75">
      <c r="A63" s="756"/>
      <c r="B63" s="756"/>
      <c r="C63" s="756"/>
      <c r="D63" s="143" t="s">
        <v>69</v>
      </c>
      <c r="E63" s="144">
        <v>3.35</v>
      </c>
      <c r="F63" s="56">
        <v>47838</v>
      </c>
      <c r="G63" s="57">
        <v>77</v>
      </c>
      <c r="H63" s="56"/>
      <c r="I63" s="57">
        <v>305</v>
      </c>
      <c r="J63" s="56"/>
      <c r="K63" s="12">
        <v>53442370</v>
      </c>
      <c r="L63" s="771"/>
    </row>
    <row r="64" spans="1:12" ht="16.5" thickBot="1">
      <c r="A64" s="757"/>
      <c r="B64" s="757"/>
      <c r="C64" s="757"/>
      <c r="D64" s="145" t="s">
        <v>30</v>
      </c>
      <c r="E64" s="146">
        <v>3.2</v>
      </c>
      <c r="F64" s="95">
        <v>51467</v>
      </c>
      <c r="G64" s="96">
        <v>67</v>
      </c>
      <c r="H64" s="95"/>
      <c r="I64" s="96"/>
      <c r="J64" s="95">
        <v>2400</v>
      </c>
      <c r="K64" s="14">
        <v>66712050</v>
      </c>
      <c r="L64" s="772"/>
    </row>
    <row r="65" spans="1:12" ht="15.75">
      <c r="A65" s="755">
        <v>12</v>
      </c>
      <c r="B65" s="755" t="s">
        <v>97</v>
      </c>
      <c r="C65" s="755" t="s">
        <v>86</v>
      </c>
      <c r="D65" s="147" t="s">
        <v>38</v>
      </c>
      <c r="E65" s="148">
        <v>4.83</v>
      </c>
      <c r="F65" s="53">
        <v>72350</v>
      </c>
      <c r="G65" s="36">
        <v>54</v>
      </c>
      <c r="H65" s="53"/>
      <c r="I65" s="36">
        <v>1019</v>
      </c>
      <c r="J65" s="53"/>
      <c r="K65" s="19">
        <v>178270270</v>
      </c>
      <c r="L65" s="770">
        <f>SUM(K65:K68)</f>
        <v>382330060</v>
      </c>
    </row>
    <row r="66" spans="1:12" ht="15.75">
      <c r="A66" s="756"/>
      <c r="B66" s="756"/>
      <c r="C66" s="756"/>
      <c r="D66" s="149" t="s">
        <v>117</v>
      </c>
      <c r="E66" s="58">
        <v>1.1</v>
      </c>
      <c r="F66" s="86">
        <v>10139</v>
      </c>
      <c r="G66" s="85"/>
      <c r="H66" s="85"/>
      <c r="I66" s="87"/>
      <c r="J66" s="85"/>
      <c r="K66" s="13">
        <v>20080190</v>
      </c>
      <c r="L66" s="771"/>
    </row>
    <row r="67" spans="1:12" ht="15.75">
      <c r="A67" s="756"/>
      <c r="B67" s="756"/>
      <c r="C67" s="756"/>
      <c r="D67" s="60" t="s">
        <v>96</v>
      </c>
      <c r="E67" s="56">
        <v>1.2</v>
      </c>
      <c r="F67" s="62">
        <v>21500</v>
      </c>
      <c r="G67" s="56">
        <v>104</v>
      </c>
      <c r="H67" s="57"/>
      <c r="I67" s="56">
        <v>624</v>
      </c>
      <c r="J67" s="57"/>
      <c r="K67" s="63">
        <v>80049600</v>
      </c>
      <c r="L67" s="771"/>
    </row>
    <row r="68" spans="1:12" ht="16.5" thickBot="1">
      <c r="A68" s="757"/>
      <c r="B68" s="757"/>
      <c r="C68" s="757"/>
      <c r="D68" s="93" t="s">
        <v>80</v>
      </c>
      <c r="E68" s="150">
        <v>2.34</v>
      </c>
      <c r="F68" s="95">
        <v>36475</v>
      </c>
      <c r="G68" s="96">
        <v>56</v>
      </c>
      <c r="H68" s="95"/>
      <c r="I68" s="215">
        <v>1388.2</v>
      </c>
      <c r="J68" s="95"/>
      <c r="K68" s="14">
        <v>103930000</v>
      </c>
      <c r="L68" s="772"/>
    </row>
    <row r="69" spans="1:12" ht="15.75">
      <c r="A69" s="758">
        <v>13</v>
      </c>
      <c r="B69" s="755" t="s">
        <v>15</v>
      </c>
      <c r="C69" s="755" t="s">
        <v>16</v>
      </c>
      <c r="D69" s="151" t="s">
        <v>34</v>
      </c>
      <c r="E69" s="152">
        <v>1.42</v>
      </c>
      <c r="F69" s="53">
        <v>12000</v>
      </c>
      <c r="G69" s="36">
        <v>16</v>
      </c>
      <c r="H69" s="53"/>
      <c r="I69" s="36">
        <v>830</v>
      </c>
      <c r="J69" s="53"/>
      <c r="K69" s="20">
        <v>17798200</v>
      </c>
      <c r="L69" s="770">
        <f>SUM(K69:K71)</f>
        <v>60937600</v>
      </c>
    </row>
    <row r="70" spans="1:12" ht="15.75">
      <c r="A70" s="759"/>
      <c r="B70" s="756"/>
      <c r="C70" s="756"/>
      <c r="D70" s="153" t="s">
        <v>35</v>
      </c>
      <c r="E70" s="82">
        <v>1.5</v>
      </c>
      <c r="F70" s="56">
        <v>31500</v>
      </c>
      <c r="G70" s="57"/>
      <c r="H70" s="56"/>
      <c r="I70" s="57">
        <v>163</v>
      </c>
      <c r="J70" s="56"/>
      <c r="K70" s="16">
        <v>28339100</v>
      </c>
      <c r="L70" s="771"/>
    </row>
    <row r="71" spans="1:12" ht="16.5" thickBot="1">
      <c r="A71" s="760"/>
      <c r="B71" s="757"/>
      <c r="C71" s="757"/>
      <c r="D71" s="145" t="s">
        <v>41</v>
      </c>
      <c r="E71" s="94">
        <v>0.75</v>
      </c>
      <c r="F71" s="95">
        <v>5800</v>
      </c>
      <c r="G71" s="96">
        <v>10</v>
      </c>
      <c r="H71" s="95"/>
      <c r="I71" s="96">
        <v>480</v>
      </c>
      <c r="J71" s="95"/>
      <c r="K71" s="14">
        <v>14800300</v>
      </c>
      <c r="L71" s="772"/>
    </row>
    <row r="72" spans="1:12" ht="32.25" thickBot="1">
      <c r="A72" s="154">
        <v>14</v>
      </c>
      <c r="B72" s="155" t="s">
        <v>45</v>
      </c>
      <c r="C72" s="154" t="s">
        <v>124</v>
      </c>
      <c r="D72" s="156" t="s">
        <v>31</v>
      </c>
      <c r="E72" s="157">
        <v>1.53</v>
      </c>
      <c r="F72" s="158">
        <v>26400</v>
      </c>
      <c r="G72" s="159">
        <v>26</v>
      </c>
      <c r="H72" s="158"/>
      <c r="I72" s="159">
        <v>3250</v>
      </c>
      <c r="J72" s="85"/>
      <c r="K72" s="21">
        <v>29147000</v>
      </c>
      <c r="L72" s="21">
        <v>29147000</v>
      </c>
    </row>
    <row r="73" spans="1:12" ht="16.5" thickBot="1">
      <c r="A73" s="23"/>
      <c r="B73" s="160" t="s">
        <v>88</v>
      </c>
      <c r="C73" s="107"/>
      <c r="D73" s="161"/>
      <c r="E73" s="162">
        <f>SUM(E10:E72)</f>
        <v>140.74</v>
      </c>
      <c r="F73" s="162">
        <f aca="true" t="shared" si="0" ref="F73:K73">SUM(F10:F72)</f>
        <v>2462352</v>
      </c>
      <c r="G73" s="162">
        <f t="shared" si="0"/>
        <v>3545</v>
      </c>
      <c r="H73" s="211">
        <f t="shared" si="0"/>
        <v>2478.5</v>
      </c>
      <c r="I73" s="211">
        <f t="shared" si="0"/>
        <v>69484.6</v>
      </c>
      <c r="J73" s="162">
        <f t="shared" si="0"/>
        <v>8046</v>
      </c>
      <c r="K73" s="162">
        <f t="shared" si="0"/>
        <v>3291042271</v>
      </c>
      <c r="L73" s="49">
        <f>SUM(L10:L72)</f>
        <v>3291042271</v>
      </c>
    </row>
    <row r="74" spans="1:12" ht="16.5" thickBot="1">
      <c r="A74" s="754" t="s">
        <v>82</v>
      </c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15"/>
    </row>
    <row r="75" spans="1:12" ht="15.75">
      <c r="A75" s="763">
        <v>1</v>
      </c>
      <c r="B75" s="756" t="s">
        <v>74</v>
      </c>
      <c r="C75" s="758" t="s">
        <v>19</v>
      </c>
      <c r="D75" s="163" t="s">
        <v>9</v>
      </c>
      <c r="E75" s="53">
        <v>2.4</v>
      </c>
      <c r="F75" s="164">
        <v>18460</v>
      </c>
      <c r="G75" s="53">
        <v>20</v>
      </c>
      <c r="H75" s="36"/>
      <c r="I75" s="53"/>
      <c r="J75" s="165"/>
      <c r="K75" s="11">
        <v>42741745</v>
      </c>
      <c r="L75" s="770">
        <f>SUM(K75:K77)</f>
        <v>221034294</v>
      </c>
    </row>
    <row r="76" spans="1:12" ht="15.75">
      <c r="A76" s="763"/>
      <c r="B76" s="756"/>
      <c r="C76" s="759"/>
      <c r="D76" s="166" t="s">
        <v>8</v>
      </c>
      <c r="E76" s="56">
        <v>6.6</v>
      </c>
      <c r="F76" s="62">
        <v>46835</v>
      </c>
      <c r="G76" s="56">
        <v>64</v>
      </c>
      <c r="H76" s="57"/>
      <c r="I76" s="56"/>
      <c r="J76" s="75">
        <v>1270</v>
      </c>
      <c r="K76" s="12">
        <v>121179345</v>
      </c>
      <c r="L76" s="771"/>
    </row>
    <row r="77" spans="1:12" ht="16.5" thickBot="1">
      <c r="A77" s="763"/>
      <c r="B77" s="756"/>
      <c r="C77" s="760"/>
      <c r="D77" s="167" t="s">
        <v>7</v>
      </c>
      <c r="E77" s="168">
        <v>3.07</v>
      </c>
      <c r="F77" s="169">
        <v>20478</v>
      </c>
      <c r="G77" s="95">
        <v>36</v>
      </c>
      <c r="H77" s="96"/>
      <c r="I77" s="95"/>
      <c r="J77" s="170"/>
      <c r="K77" s="18">
        <v>57113204</v>
      </c>
      <c r="L77" s="772"/>
    </row>
    <row r="78" spans="1:12" ht="15.75">
      <c r="A78" s="761">
        <v>2</v>
      </c>
      <c r="B78" s="755" t="s">
        <v>73</v>
      </c>
      <c r="C78" s="756" t="s">
        <v>75</v>
      </c>
      <c r="D78" s="171" t="s">
        <v>7</v>
      </c>
      <c r="E78" s="172">
        <v>2.64</v>
      </c>
      <c r="F78" s="86">
        <v>18606</v>
      </c>
      <c r="G78" s="85">
        <v>32</v>
      </c>
      <c r="H78" s="87"/>
      <c r="I78" s="85"/>
      <c r="J78" s="173"/>
      <c r="K78" s="17">
        <v>40999010</v>
      </c>
      <c r="L78" s="770">
        <f>SUM(K78:K79)</f>
        <v>71897174</v>
      </c>
    </row>
    <row r="79" spans="1:12" ht="16.5" thickBot="1">
      <c r="A79" s="762"/>
      <c r="B79" s="757"/>
      <c r="C79" s="757"/>
      <c r="D79" s="174" t="s">
        <v>10</v>
      </c>
      <c r="E79" s="95">
        <v>2.01</v>
      </c>
      <c r="F79" s="175">
        <v>11470.89</v>
      </c>
      <c r="G79" s="95">
        <v>5</v>
      </c>
      <c r="H79" s="96"/>
      <c r="I79" s="95"/>
      <c r="J79" s="170"/>
      <c r="K79" s="15">
        <v>30898164</v>
      </c>
      <c r="L79" s="772"/>
    </row>
    <row r="80" spans="1:12" ht="16.5" thickBot="1">
      <c r="A80" s="176"/>
      <c r="B80" s="40" t="s">
        <v>88</v>
      </c>
      <c r="C80" s="177"/>
      <c r="D80" s="178"/>
      <c r="E80" s="179">
        <f>SUM(E75:E79)</f>
        <v>16.72</v>
      </c>
      <c r="F80" s="180">
        <f>SUM(F75:F79)</f>
        <v>115849.89</v>
      </c>
      <c r="G80" s="179">
        <f>SUM(G75:G79)</f>
        <v>157</v>
      </c>
      <c r="H80" s="181"/>
      <c r="I80" s="50"/>
      <c r="J80" s="182">
        <f>SUM(J76:J79)</f>
        <v>1270</v>
      </c>
      <c r="K80" s="183">
        <f>SUM(K75:K79)</f>
        <v>292931468</v>
      </c>
      <c r="L80" s="184">
        <f>SUM(L75,L78)</f>
        <v>292931468</v>
      </c>
    </row>
    <row r="81" spans="1:12" ht="16.5" thickBot="1">
      <c r="A81" s="765" t="s">
        <v>11</v>
      </c>
      <c r="B81" s="766"/>
      <c r="C81" s="766"/>
      <c r="D81" s="766"/>
      <c r="E81" s="766"/>
      <c r="F81" s="766"/>
      <c r="G81" s="766"/>
      <c r="H81" s="766"/>
      <c r="I81" s="766"/>
      <c r="J81" s="766"/>
      <c r="K81" s="766"/>
      <c r="L81" s="767"/>
    </row>
    <row r="82" spans="1:12" ht="32.25" thickBot="1">
      <c r="A82" s="185">
        <v>1</v>
      </c>
      <c r="B82" s="154" t="s">
        <v>44</v>
      </c>
      <c r="C82" s="3" t="s">
        <v>89</v>
      </c>
      <c r="D82" s="186" t="s">
        <v>5</v>
      </c>
      <c r="E82" s="154">
        <v>3.85</v>
      </c>
      <c r="F82" s="185">
        <v>40139</v>
      </c>
      <c r="G82" s="212">
        <v>4</v>
      </c>
      <c r="H82" s="213"/>
      <c r="I82" s="212">
        <v>2032</v>
      </c>
      <c r="J82" s="214"/>
      <c r="K82" s="22">
        <v>105080618</v>
      </c>
      <c r="L82" s="22">
        <v>109562570</v>
      </c>
    </row>
    <row r="83" spans="1:12" ht="15.75">
      <c r="A83" s="761">
        <v>2</v>
      </c>
      <c r="B83" s="755" t="s">
        <v>43</v>
      </c>
      <c r="C83" s="755" t="s">
        <v>123</v>
      </c>
      <c r="D83" s="163" t="s">
        <v>12</v>
      </c>
      <c r="E83" s="53">
        <v>0.7</v>
      </c>
      <c r="F83" s="188">
        <v>22047.3</v>
      </c>
      <c r="G83" s="53">
        <v>90</v>
      </c>
      <c r="H83" s="36">
        <v>1640</v>
      </c>
      <c r="I83" s="53">
        <v>2619</v>
      </c>
      <c r="J83" s="165"/>
      <c r="K83" s="11">
        <v>91316534</v>
      </c>
      <c r="L83" s="770">
        <f>SUM(K83:K85)</f>
        <v>426614312</v>
      </c>
    </row>
    <row r="84" spans="1:12" ht="15.75">
      <c r="A84" s="764"/>
      <c r="B84" s="756"/>
      <c r="C84" s="756"/>
      <c r="D84" s="166" t="s">
        <v>2</v>
      </c>
      <c r="E84" s="61">
        <v>2</v>
      </c>
      <c r="F84" s="62">
        <v>44860</v>
      </c>
      <c r="G84" s="56">
        <v>117</v>
      </c>
      <c r="H84" s="57">
        <v>3927</v>
      </c>
      <c r="I84" s="56">
        <v>5629</v>
      </c>
      <c r="J84" s="75">
        <v>910</v>
      </c>
      <c r="K84" s="12">
        <v>196723922</v>
      </c>
      <c r="L84" s="771"/>
    </row>
    <row r="85" spans="1:12" ht="16.5" thickBot="1">
      <c r="A85" s="762"/>
      <c r="B85" s="757"/>
      <c r="C85" s="757"/>
      <c r="D85" s="174" t="s">
        <v>3</v>
      </c>
      <c r="E85" s="95">
        <v>1.1</v>
      </c>
      <c r="F85" s="169">
        <v>29158</v>
      </c>
      <c r="G85" s="95">
        <v>83</v>
      </c>
      <c r="H85" s="96">
        <v>1633</v>
      </c>
      <c r="I85" s="189">
        <v>4104.81</v>
      </c>
      <c r="J85" s="170"/>
      <c r="K85" s="18">
        <v>138573856</v>
      </c>
      <c r="L85" s="772"/>
    </row>
    <row r="86" spans="1:12" ht="15.75">
      <c r="A86" s="764">
        <v>3</v>
      </c>
      <c r="B86" s="756" t="s">
        <v>1</v>
      </c>
      <c r="C86" s="756" t="s">
        <v>122</v>
      </c>
      <c r="D86" s="190" t="s">
        <v>4</v>
      </c>
      <c r="E86" s="99">
        <v>3.4</v>
      </c>
      <c r="F86" s="191">
        <v>158144</v>
      </c>
      <c r="G86" s="99">
        <v>180</v>
      </c>
      <c r="H86" s="100">
        <v>6970</v>
      </c>
      <c r="I86" s="99">
        <v>2609</v>
      </c>
      <c r="J86" s="192"/>
      <c r="K86" s="17">
        <v>428262653</v>
      </c>
      <c r="L86" s="770">
        <f>SUM(K86:K87)</f>
        <v>650969093</v>
      </c>
    </row>
    <row r="87" spans="1:12" ht="16.5" thickBot="1">
      <c r="A87" s="762"/>
      <c r="B87" s="757"/>
      <c r="C87" s="757"/>
      <c r="D87" s="174" t="s">
        <v>6</v>
      </c>
      <c r="E87" s="95">
        <v>2.1</v>
      </c>
      <c r="F87" s="193">
        <v>95783</v>
      </c>
      <c r="G87" s="58">
        <v>60</v>
      </c>
      <c r="H87" s="59">
        <v>382</v>
      </c>
      <c r="I87" s="58">
        <v>785</v>
      </c>
      <c r="J87" s="194"/>
      <c r="K87" s="18">
        <v>222706440</v>
      </c>
      <c r="L87" s="772"/>
    </row>
    <row r="88" spans="1:12" ht="16.5" thickBot="1">
      <c r="A88" s="530" t="s">
        <v>88</v>
      </c>
      <c r="B88" s="531"/>
      <c r="C88" s="532"/>
      <c r="D88" s="195"/>
      <c r="E88" s="196">
        <f aca="true" t="shared" si="1" ref="E88:J88">SUM(E82:E87)</f>
        <v>13.15</v>
      </c>
      <c r="F88" s="197">
        <f t="shared" si="1"/>
        <v>390131.3</v>
      </c>
      <c r="G88" s="41">
        <f t="shared" si="1"/>
        <v>534</v>
      </c>
      <c r="H88" s="41">
        <f t="shared" si="1"/>
        <v>14552</v>
      </c>
      <c r="I88" s="197">
        <f t="shared" si="1"/>
        <v>17778.81</v>
      </c>
      <c r="J88" s="49">
        <f t="shared" si="1"/>
        <v>910</v>
      </c>
      <c r="K88" s="183">
        <f>SUM(K82:K87)</f>
        <v>1182664023</v>
      </c>
      <c r="L88" s="184">
        <f>SUM(L82:L87)</f>
        <v>1187145975</v>
      </c>
    </row>
    <row r="89" spans="1:12" ht="16.5" thickBot="1">
      <c r="A89" s="530" t="s">
        <v>106</v>
      </c>
      <c r="B89" s="531"/>
      <c r="C89" s="531"/>
      <c r="D89" s="531"/>
      <c r="E89" s="531"/>
      <c r="F89" s="531"/>
      <c r="G89" s="531"/>
      <c r="H89" s="531"/>
      <c r="I89" s="531"/>
      <c r="J89" s="531"/>
      <c r="K89" s="531"/>
      <c r="L89" s="532"/>
    </row>
    <row r="90" spans="1:12" ht="16.5" thickBot="1">
      <c r="A90" s="755">
        <v>1</v>
      </c>
      <c r="B90" s="758" t="s">
        <v>74</v>
      </c>
      <c r="C90" s="755" t="s">
        <v>19</v>
      </c>
      <c r="D90" s="4" t="s">
        <v>105</v>
      </c>
      <c r="E90" s="34"/>
      <c r="F90" s="198">
        <v>246425</v>
      </c>
      <c r="G90" s="36"/>
      <c r="H90" s="53"/>
      <c r="I90" s="36"/>
      <c r="J90" s="53"/>
      <c r="K90" s="199">
        <v>642000000</v>
      </c>
      <c r="L90" s="773">
        <f>SUM(K90,K91)</f>
        <v>750700185</v>
      </c>
    </row>
    <row r="91" spans="1:12" ht="16.5" thickBot="1">
      <c r="A91" s="757"/>
      <c r="B91" s="760"/>
      <c r="C91" s="757"/>
      <c r="D91" s="4" t="s">
        <v>105</v>
      </c>
      <c r="E91" s="35"/>
      <c r="F91" s="200">
        <v>56777</v>
      </c>
      <c r="G91" s="35"/>
      <c r="H91" s="27"/>
      <c r="I91" s="35"/>
      <c r="J91" s="27"/>
      <c r="K91" s="201">
        <v>108700185</v>
      </c>
      <c r="L91" s="774"/>
    </row>
    <row r="92" spans="1:12" ht="15.75">
      <c r="A92" s="768">
        <v>2</v>
      </c>
      <c r="B92" s="768" t="s">
        <v>1</v>
      </c>
      <c r="C92" s="755" t="s">
        <v>121</v>
      </c>
      <c r="D92" s="203" t="s">
        <v>105</v>
      </c>
      <c r="E92" s="36"/>
      <c r="F92" s="198">
        <v>50543</v>
      </c>
      <c r="G92" s="53"/>
      <c r="H92" s="36"/>
      <c r="I92" s="53"/>
      <c r="J92" s="53"/>
      <c r="K92" s="204">
        <v>79420000</v>
      </c>
      <c r="L92" s="773">
        <f>SUM(K92:K93)</f>
        <v>99420000</v>
      </c>
    </row>
    <row r="93" spans="1:12" ht="16.5" thickBot="1">
      <c r="A93" s="769"/>
      <c r="B93" s="769"/>
      <c r="C93" s="757"/>
      <c r="D93" s="8" t="s">
        <v>107</v>
      </c>
      <c r="E93" s="35"/>
      <c r="F93" s="27"/>
      <c r="G93" s="27"/>
      <c r="H93" s="87"/>
      <c r="I93" s="27"/>
      <c r="J93" s="27"/>
      <c r="K93" s="205">
        <v>20000000</v>
      </c>
      <c r="L93" s="774"/>
    </row>
    <row r="94" spans="1:12" ht="16.5" thickBot="1">
      <c r="A94" s="25"/>
      <c r="B94" s="25"/>
      <c r="C94" s="24"/>
      <c r="D94" s="206"/>
      <c r="E94" s="25"/>
      <c r="F94" s="66"/>
      <c r="G94" s="25"/>
      <c r="H94" s="212"/>
      <c r="I94" s="25"/>
      <c r="J94" s="66"/>
      <c r="K94" s="202"/>
      <c r="L94" s="202"/>
    </row>
    <row r="95" spans="1:12" ht="16.5" thickBot="1">
      <c r="A95" s="9"/>
      <c r="B95" s="49" t="s">
        <v>88</v>
      </c>
      <c r="C95" s="10"/>
      <c r="D95" s="5"/>
      <c r="E95" s="37"/>
      <c r="F95" s="207">
        <f>SUM(F90:F94)</f>
        <v>353745</v>
      </c>
      <c r="G95" s="37"/>
      <c r="H95" s="187"/>
      <c r="I95" s="37"/>
      <c r="J95" s="187"/>
      <c r="K95" s="183">
        <f>SUM(K90:K94)</f>
        <v>850120185</v>
      </c>
      <c r="L95" s="208">
        <f>SUM(L90:L93)</f>
        <v>850120185</v>
      </c>
    </row>
    <row r="96" spans="1:12" s="227" customFormat="1" ht="38.25" thickBot="1">
      <c r="A96" s="222"/>
      <c r="B96" s="7" t="s">
        <v>108</v>
      </c>
      <c r="C96" s="223"/>
      <c r="D96" s="224"/>
      <c r="E96" s="219">
        <v>16.72</v>
      </c>
      <c r="F96" s="225">
        <f>SUM(F80)</f>
        <v>115849.89</v>
      </c>
      <c r="G96" s="226">
        <f>SUM(G80)</f>
        <v>157</v>
      </c>
      <c r="H96" s="226"/>
      <c r="I96" s="226"/>
      <c r="J96" s="226">
        <f>SUM(J80)</f>
        <v>1270</v>
      </c>
      <c r="K96" s="216">
        <f>SUM(K80)</f>
        <v>292931468</v>
      </c>
      <c r="L96" s="217"/>
    </row>
    <row r="97" spans="1:12" s="227" customFormat="1" ht="38.25" thickBot="1">
      <c r="A97" s="224"/>
      <c r="B97" s="6" t="s">
        <v>109</v>
      </c>
      <c r="C97" s="223"/>
      <c r="D97" s="224"/>
      <c r="E97" s="219">
        <v>13.15</v>
      </c>
      <c r="F97" s="225">
        <f aca="true" t="shared" si="2" ref="F97:K97">SUM(F88)</f>
        <v>390131.3</v>
      </c>
      <c r="G97" s="226">
        <f t="shared" si="2"/>
        <v>534</v>
      </c>
      <c r="H97" s="226">
        <f t="shared" si="2"/>
        <v>14552</v>
      </c>
      <c r="I97" s="225">
        <f t="shared" si="2"/>
        <v>17778.81</v>
      </c>
      <c r="J97" s="226">
        <f t="shared" si="2"/>
        <v>910</v>
      </c>
      <c r="K97" s="216">
        <f t="shared" si="2"/>
        <v>1182664023</v>
      </c>
      <c r="L97" s="218"/>
    </row>
    <row r="98" spans="1:12" s="227" customFormat="1" ht="38.25" thickBot="1">
      <c r="A98" s="224"/>
      <c r="B98" s="6" t="s">
        <v>110</v>
      </c>
      <c r="C98" s="223"/>
      <c r="D98" s="224"/>
      <c r="E98" s="219">
        <f>SUM(E73)</f>
        <v>140.74</v>
      </c>
      <c r="F98" s="226">
        <f aca="true" t="shared" si="3" ref="F98:K98">SUM(F73)</f>
        <v>2462352</v>
      </c>
      <c r="G98" s="219">
        <f t="shared" si="3"/>
        <v>3545</v>
      </c>
      <c r="H98" s="225">
        <f t="shared" si="3"/>
        <v>2478.5</v>
      </c>
      <c r="I98" s="228">
        <f t="shared" si="3"/>
        <v>69484.6</v>
      </c>
      <c r="J98" s="226">
        <f t="shared" si="3"/>
        <v>8046</v>
      </c>
      <c r="K98" s="219">
        <f t="shared" si="3"/>
        <v>3291042271</v>
      </c>
      <c r="L98" s="217"/>
    </row>
    <row r="99" spans="1:12" s="227" customFormat="1" ht="38.25" thickBot="1">
      <c r="A99" s="224"/>
      <c r="B99" s="7" t="s">
        <v>111</v>
      </c>
      <c r="C99" s="223"/>
      <c r="D99" s="224"/>
      <c r="E99" s="219"/>
      <c r="F99" s="221"/>
      <c r="G99" s="221"/>
      <c r="H99" s="221"/>
      <c r="I99" s="221"/>
      <c r="J99" s="221"/>
      <c r="K99" s="216">
        <f>SUM(K95)</f>
        <v>850120185</v>
      </c>
      <c r="L99" s="217"/>
    </row>
    <row r="100" spans="1:12" s="227" customFormat="1" ht="19.5" thickBot="1">
      <c r="A100" s="229"/>
      <c r="B100" s="6" t="s">
        <v>112</v>
      </c>
      <c r="C100" s="223"/>
      <c r="D100" s="224"/>
      <c r="E100" s="236">
        <f aca="true" t="shared" si="4" ref="E100:J100">SUM(E96,E97,E98)</f>
        <v>170.61</v>
      </c>
      <c r="F100" s="220">
        <f t="shared" si="4"/>
        <v>2968333.19</v>
      </c>
      <c r="G100" s="236">
        <f t="shared" si="4"/>
        <v>4236</v>
      </c>
      <c r="H100" s="236">
        <f t="shared" si="4"/>
        <v>17030.5</v>
      </c>
      <c r="I100" s="220">
        <f t="shared" si="4"/>
        <v>87263.41</v>
      </c>
      <c r="J100" s="236">
        <f t="shared" si="4"/>
        <v>10226</v>
      </c>
      <c r="K100" s="216">
        <f>SUM(K96,K97,K98,K99)</f>
        <v>5616757947</v>
      </c>
      <c r="L100" s="217"/>
    </row>
    <row r="102" spans="5:10" ht="15.75">
      <c r="E102" s="209" t="s">
        <v>102</v>
      </c>
      <c r="J102" s="33" t="s">
        <v>138</v>
      </c>
    </row>
    <row r="103" spans="5:8" ht="15.75">
      <c r="E103" s="33" t="s">
        <v>102</v>
      </c>
      <c r="H103" s="237">
        <f>H100+I100+J100</f>
        <v>114519.91</v>
      </c>
    </row>
    <row r="104" ht="15.75">
      <c r="L104" s="210" t="s">
        <v>136</v>
      </c>
    </row>
    <row r="105" spans="4:11" ht="15.75">
      <c r="D105" s="38"/>
      <c r="E105" s="39"/>
      <c r="F105" s="39"/>
      <c r="G105" s="39"/>
      <c r="H105" s="39"/>
      <c r="I105" s="39"/>
      <c r="J105" s="39"/>
      <c r="K105" s="39"/>
    </row>
    <row r="106" spans="4:11" ht="15.75">
      <c r="D106" s="38"/>
      <c r="E106" s="39"/>
      <c r="F106" s="39"/>
      <c r="G106" s="39"/>
      <c r="H106" s="39"/>
      <c r="I106" s="39"/>
      <c r="J106" s="39"/>
      <c r="K106" s="39"/>
    </row>
    <row r="107" spans="4:11" ht="15.75">
      <c r="D107" s="38"/>
      <c r="E107" s="39"/>
      <c r="F107" s="39"/>
      <c r="G107" s="39"/>
      <c r="H107" s="39"/>
      <c r="I107" s="39"/>
      <c r="J107" s="39"/>
      <c r="K107" s="39"/>
    </row>
    <row r="108" spans="4:11" ht="15.75">
      <c r="D108" s="38"/>
      <c r="E108" s="39"/>
      <c r="F108" s="39"/>
      <c r="G108" s="39"/>
      <c r="H108" s="39"/>
      <c r="I108" s="39"/>
      <c r="J108" s="39"/>
      <c r="K108" s="39"/>
    </row>
    <row r="109" spans="4:11" ht="15.75">
      <c r="D109" s="38"/>
      <c r="E109" s="39"/>
      <c r="F109" s="39"/>
      <c r="G109" s="39"/>
      <c r="H109" s="39"/>
      <c r="I109" s="39"/>
      <c r="J109" s="39"/>
      <c r="K109" s="39"/>
    </row>
    <row r="110" spans="4:11" ht="15.75">
      <c r="D110" s="38"/>
      <c r="E110" s="39"/>
      <c r="F110" s="39"/>
      <c r="G110" s="39"/>
      <c r="H110" s="39"/>
      <c r="I110" s="39"/>
      <c r="J110" s="39"/>
      <c r="K110" s="39"/>
    </row>
    <row r="111" spans="4:11" ht="15.75">
      <c r="D111" s="38"/>
      <c r="E111" s="39"/>
      <c r="F111" s="39"/>
      <c r="G111" s="39"/>
      <c r="H111" s="39"/>
      <c r="I111" s="39"/>
      <c r="J111" s="39"/>
      <c r="K111" s="39"/>
    </row>
  </sheetData>
  <mergeCells count="95">
    <mergeCell ref="A1:L1"/>
    <mergeCell ref="A2:L2"/>
    <mergeCell ref="A3:L3"/>
    <mergeCell ref="A5:A7"/>
    <mergeCell ref="B5:B7"/>
    <mergeCell ref="C5:C7"/>
    <mergeCell ref="D5:D7"/>
    <mergeCell ref="E5:E7"/>
    <mergeCell ref="F5:J5"/>
    <mergeCell ref="K5:K7"/>
    <mergeCell ref="L5:L7"/>
    <mergeCell ref="F6:F7"/>
    <mergeCell ref="G6:G7"/>
    <mergeCell ref="H6:J6"/>
    <mergeCell ref="A9:L9"/>
    <mergeCell ref="L10:L14"/>
    <mergeCell ref="B10:B14"/>
    <mergeCell ref="L15:L18"/>
    <mergeCell ref="A10:A14"/>
    <mergeCell ref="C10:C14"/>
    <mergeCell ref="C15:C18"/>
    <mergeCell ref="B15:B18"/>
    <mergeCell ref="A15:A18"/>
    <mergeCell ref="A31:A35"/>
    <mergeCell ref="B31:B35"/>
    <mergeCell ref="C31:C35"/>
    <mergeCell ref="A19:A30"/>
    <mergeCell ref="B19:B30"/>
    <mergeCell ref="C19:C30"/>
    <mergeCell ref="A39:A45"/>
    <mergeCell ref="B39:B45"/>
    <mergeCell ref="C39:C45"/>
    <mergeCell ref="A36:A38"/>
    <mergeCell ref="B36:B38"/>
    <mergeCell ref="C36:C38"/>
    <mergeCell ref="A48:A53"/>
    <mergeCell ref="B48:B53"/>
    <mergeCell ref="C48:C53"/>
    <mergeCell ref="A46:A47"/>
    <mergeCell ref="B46:B47"/>
    <mergeCell ref="C46:C47"/>
    <mergeCell ref="A56:A61"/>
    <mergeCell ref="B56:B61"/>
    <mergeCell ref="C56:C61"/>
    <mergeCell ref="A54:A55"/>
    <mergeCell ref="B54:B55"/>
    <mergeCell ref="C54:C55"/>
    <mergeCell ref="A65:A68"/>
    <mergeCell ref="B65:B68"/>
    <mergeCell ref="C65:C68"/>
    <mergeCell ref="A62:A64"/>
    <mergeCell ref="B62:B64"/>
    <mergeCell ref="C62:C64"/>
    <mergeCell ref="L86:L87"/>
    <mergeCell ref="L75:L77"/>
    <mergeCell ref="A69:A71"/>
    <mergeCell ref="B69:B71"/>
    <mergeCell ref="C69:C71"/>
    <mergeCell ref="A78:A79"/>
    <mergeCell ref="A89:L89"/>
    <mergeCell ref="A90:A91"/>
    <mergeCell ref="B90:B91"/>
    <mergeCell ref="L90:L91"/>
    <mergeCell ref="A88:C88"/>
    <mergeCell ref="A86:A87"/>
    <mergeCell ref="B86:B87"/>
    <mergeCell ref="C86:C87"/>
    <mergeCell ref="A92:A93"/>
    <mergeCell ref="B92:B93"/>
    <mergeCell ref="C92:C93"/>
    <mergeCell ref="A81:L81"/>
    <mergeCell ref="A83:A85"/>
    <mergeCell ref="B83:B85"/>
    <mergeCell ref="C83:C85"/>
    <mergeCell ref="L83:L85"/>
    <mergeCell ref="L92:L93"/>
    <mergeCell ref="C90:C91"/>
    <mergeCell ref="L65:L68"/>
    <mergeCell ref="L62:L64"/>
    <mergeCell ref="B78:B79"/>
    <mergeCell ref="C78:C79"/>
    <mergeCell ref="A74:L74"/>
    <mergeCell ref="A75:A77"/>
    <mergeCell ref="B75:B77"/>
    <mergeCell ref="C75:C77"/>
    <mergeCell ref="L78:L79"/>
    <mergeCell ref="L69:L71"/>
    <mergeCell ref="L56:L61"/>
    <mergeCell ref="L54:L55"/>
    <mergeCell ref="L31:L35"/>
    <mergeCell ref="L19:L30"/>
    <mergeCell ref="L48:L53"/>
    <mergeCell ref="L46:L47"/>
    <mergeCell ref="L39:L45"/>
    <mergeCell ref="L36:L38"/>
  </mergeCells>
  <printOptions/>
  <pageMargins left="0.4" right="0.28" top="0.34" bottom="0.35" header="0.19" footer="0.19"/>
  <pageSetup horizontalDpi="600" verticalDpi="600" orientation="landscape" paperSize="9" scale="56" r:id="rId1"/>
  <rowBreaks count="2" manualBreakCount="2">
    <brk id="55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Unregistered_T</dc:creator>
  <cp:keywords/>
  <dc:description/>
  <cp:lastModifiedBy>Владелец</cp:lastModifiedBy>
  <cp:lastPrinted>2010-04-27T10:22:17Z</cp:lastPrinted>
  <dcterms:created xsi:type="dcterms:W3CDTF">2005-02-10T10:45:06Z</dcterms:created>
  <dcterms:modified xsi:type="dcterms:W3CDTF">2010-04-27T10:57:06Z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